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24226"/>
  <xr:revisionPtr revIDLastSave="0" documentId="13_ncr:1_{80E6F1B9-0D75-416A-B71B-03A6B052E5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9" r:id="rId1"/>
    <sheet name="Прил 1" sheetId="7" r:id="rId2"/>
    <sheet name="Прил3" sheetId="8" r:id="rId3"/>
    <sheet name="Прил5" sheetId="5" r:id="rId4"/>
  </sheets>
  <externalReferences>
    <externalReference r:id="rId5"/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5" l="1"/>
  <c r="H17" i="5"/>
  <c r="I16" i="5"/>
  <c r="H16" i="5"/>
  <c r="I15" i="5"/>
  <c r="H15" i="5"/>
  <c r="I13" i="5"/>
  <c r="I12" i="5"/>
  <c r="G12" i="5"/>
  <c r="G13" i="5"/>
  <c r="D15" i="8"/>
  <c r="D21" i="8"/>
  <c r="D22" i="8"/>
  <c r="E23" i="8"/>
  <c r="E15" i="8" s="1"/>
  <c r="F23" i="8"/>
  <c r="E24" i="8"/>
  <c r="F24" i="8"/>
  <c r="F16" i="8" s="1"/>
  <c r="D29" i="8"/>
  <c r="D28" i="8" s="1"/>
  <c r="E30" i="8"/>
  <c r="F30" i="8"/>
  <c r="F29" i="8" s="1"/>
  <c r="F28" i="8" s="1"/>
  <c r="E31" i="8"/>
  <c r="E16" i="8" s="1"/>
  <c r="F31" i="8"/>
  <c r="E35" i="8"/>
  <c r="F35" i="8"/>
  <c r="D36" i="8"/>
  <c r="E36" i="8"/>
  <c r="F36" i="8"/>
  <c r="E42" i="8"/>
  <c r="E43" i="8"/>
  <c r="F43" i="8"/>
  <c r="F42" i="8" s="1"/>
  <c r="D45" i="8"/>
  <c r="D43" i="8" s="1"/>
  <c r="D50" i="8"/>
  <c r="D49" i="8" s="1"/>
  <c r="E51" i="8"/>
  <c r="E50" i="8" s="1"/>
  <c r="E49" i="8" s="1"/>
  <c r="F51" i="8"/>
  <c r="F50" i="8" s="1"/>
  <c r="F49" i="8" s="1"/>
  <c r="E52" i="8"/>
  <c r="F52" i="8"/>
  <c r="E57" i="8"/>
  <c r="E56" i="8" s="1"/>
  <c r="D58" i="8"/>
  <c r="E58" i="8"/>
  <c r="F58" i="8"/>
  <c r="F57" i="8" s="1"/>
  <c r="F56" i="8" s="1"/>
  <c r="D59" i="8"/>
  <c r="D57" i="8" s="1"/>
  <c r="D56" i="8" s="1"/>
  <c r="E59" i="8"/>
  <c r="F59" i="8"/>
  <c r="D64" i="8"/>
  <c r="E65" i="8"/>
  <c r="F65" i="8"/>
  <c r="E66" i="8"/>
  <c r="E64" i="8" s="1"/>
  <c r="F66" i="8"/>
  <c r="F64" i="8" s="1"/>
  <c r="D67" i="8"/>
  <c r="E68" i="8"/>
  <c r="E67" i="8" s="1"/>
  <c r="F68" i="8"/>
  <c r="E69" i="8"/>
  <c r="F69" i="8"/>
  <c r="F67" i="8" s="1"/>
  <c r="D70" i="8"/>
  <c r="D63" i="8" s="1"/>
  <c r="E71" i="8"/>
  <c r="E70" i="8" s="1"/>
  <c r="F71" i="8"/>
  <c r="F70" i="8" s="1"/>
  <c r="E72" i="8"/>
  <c r="F72" i="8"/>
  <c r="D73" i="8"/>
  <c r="E74" i="8"/>
  <c r="F74" i="8"/>
  <c r="E75" i="8"/>
  <c r="E73" i="8" s="1"/>
  <c r="D79" i="8"/>
  <c r="E79" i="8"/>
  <c r="F79" i="8"/>
  <c r="E81" i="8"/>
  <c r="E80" i="8" s="1"/>
  <c r="E83" i="8"/>
  <c r="F83" i="8"/>
  <c r="E84" i="8"/>
  <c r="F84" i="8" s="1"/>
  <c r="F85" i="8"/>
  <c r="D88" i="8"/>
  <c r="F95" i="8"/>
  <c r="F63" i="8" l="1"/>
  <c r="E63" i="8"/>
  <c r="D80" i="8"/>
  <c r="D77" i="8" s="1"/>
  <c r="D86" i="8" s="1"/>
  <c r="E77" i="8"/>
  <c r="E86" i="8" s="1"/>
  <c r="D14" i="8"/>
  <c r="D13" i="8" s="1"/>
  <c r="D11" i="8" s="1"/>
  <c r="D81" i="8"/>
  <c r="F22" i="8"/>
  <c r="D16" i="8"/>
  <c r="E22" i="8"/>
  <c r="F15" i="8"/>
  <c r="F81" i="8"/>
  <c r="F80" i="8" s="1"/>
  <c r="F77" i="8" s="1"/>
  <c r="F86" i="8" s="1"/>
  <c r="F75" i="8"/>
  <c r="F73" i="8" s="1"/>
  <c r="E29" i="8"/>
  <c r="E28" i="8" s="1"/>
  <c r="E14" i="8" l="1"/>
  <c r="E13" i="8" s="1"/>
  <c r="E11" i="8" s="1"/>
  <c r="E21" i="8"/>
  <c r="F21" i="8"/>
  <c r="F14" i="8"/>
  <c r="F13" i="8" s="1"/>
</calcChain>
</file>

<file path=xl/sharedStrings.xml><?xml version="1.0" encoding="utf-8"?>
<sst xmlns="http://schemas.openxmlformats.org/spreadsheetml/2006/main" count="295" uniqueCount="143">
  <si>
    <t>Приложение N 3</t>
  </si>
  <si>
    <t>к предложению о размере цен</t>
  </si>
  <si>
    <t>(тарифов), долгосрочных</t>
  </si>
  <si>
    <t>параметров регулирования</t>
  </si>
  <si>
    <t>N п/п</t>
  </si>
  <si>
    <t>Наименование показателей</t>
  </si>
  <si>
    <t>Единица измерения</t>
  </si>
  <si>
    <t>Фактические показатели за год, предшествующий базовому периоду</t>
  </si>
  <si>
    <t>Показатели, утвержденные на базовый период &lt;*&gt;</t>
  </si>
  <si>
    <t>Предложения 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</si>
  <si>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</si>
  <si>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</si>
  <si>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</si>
  <si>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</si>
  <si>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</si>
  <si>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</si>
  <si>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</si>
  <si>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</si>
  <si>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</si>
  <si>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</si>
  <si>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</si>
  <si>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</si>
  <si>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</si>
  <si>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</si>
  <si>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</si>
  <si>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</si>
  <si>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</si>
  <si>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</si>
  <si>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</si>
  <si>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</si>
  <si>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</si>
  <si>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</si>
  <si>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</si>
  <si>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</si>
  <si>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</si>
  <si>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</si>
  <si>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</si>
  <si>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</si>
  <si>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</si>
  <si>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</si>
  <si>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</si>
  <si>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</si>
  <si>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</si>
  <si>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</si>
  <si>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</si>
  <si>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</si>
  <si>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</si>
  <si>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</si>
  <si>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</si>
  <si>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</si>
  <si>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</si>
  <si>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</si>
  <si>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</si>
  <si>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</si>
  <si>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</si>
  <si>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>2.1.</t>
  </si>
  <si>
    <t>2.2.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</si>
  <si>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</si>
  <si>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</si>
  <si>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</si>
  <si>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>Количество точек учета по обслуживаемым договорам - всего</t>
  </si>
  <si>
    <t>3.1.</t>
  </si>
  <si>
    <t>по населению и приравненными к нему категориями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</si>
  <si>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</si>
  <si>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</si>
  <si>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</si>
  <si>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</si>
  <si>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</si>
  <si>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</si>
  <si>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</si>
  <si>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</si>
  <si>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</si>
  <si>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</si>
  <si>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</si>
  <si>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</si>
  <si>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</si>
  <si>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</si>
  <si>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</si>
  <si>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</si>
  <si>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</si>
  <si>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</si>
  <si>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9.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</si>
  <si>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</si>
  <si>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</si>
  <si>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</si>
  <si>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</si>
  <si>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</si>
  <si>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</si>
  <si>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&lt;*&gt; Базовый период - год, предшествующий расчетному периоду регулирования.</t>
  </si>
  <si>
    <t>Раздел 2. Основные показатели деятельности гарантирующих поставщиков</t>
  </si>
  <si>
    <t>Приложение N 5</t>
  </si>
  <si>
    <t>Раздел 3. Цены (тарифы) по регулируемым видам  деятельности организации</t>
  </si>
  <si>
    <t>Единица изменения</t>
  </si>
  <si>
    <t>1-е полугодие</t>
  </si>
  <si>
    <t>2-е полугодие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</si>
  <si>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</si>
  <si>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</si>
  <si>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</si>
  <si>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</si>
  <si>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</si>
  <si>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Резерв безнадежной дебиторской задолженности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</si>
  <si>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</si>
  <si>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</si>
  <si>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</si>
  <si>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</si>
  <si>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</si>
  <si>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</si>
  <si>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</si>
  <si>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ФИО руководителя</t>
  </si>
  <si>
    <t>Адрес электронной почты</t>
  </si>
  <si>
    <t>Контактный телефон</t>
  </si>
  <si>
    <t>Факс</t>
  </si>
  <si>
    <t>Приложение N 1</t>
  </si>
  <si>
    <t>Публичное акционерное общество "Калужская сбытовая компания"</t>
  </si>
  <si>
    <t>ПАО "Калужская сбытовая компания"</t>
  </si>
  <si>
    <t>248001 г.Калуга, пер. Суворова, д.8</t>
  </si>
  <si>
    <t>sekretary@ksk.kaluga.ru</t>
  </si>
  <si>
    <t>менее 670 кВт *</t>
  </si>
  <si>
    <t>Необходимые расходы из прибыли **</t>
  </si>
  <si>
    <t>****</t>
  </si>
  <si>
    <t>5.1.</t>
  </si>
  <si>
    <t>5.2.</t>
  </si>
  <si>
    <t>5.3.</t>
  </si>
  <si>
    <t>**** Данные показатели в соответствии с Методическими указаниями по расчету сбытовых надбавок ( Приказ ФАС № 1554/17 от 21.11.2017г.) не утверждаются</t>
  </si>
  <si>
    <t>(полное и сокращенное наименование юридического лица)</t>
  </si>
  <si>
    <t>(расчетный период регулирования)</t>
  </si>
  <si>
    <t>год</t>
  </si>
  <si>
    <t>(вид цены (тарифа) на</t>
  </si>
  <si>
    <t>о размере цен (тарифов), долгосрочных параметров регулирования</t>
  </si>
  <si>
    <t>ПРЕДЛОЖЕНИЕ</t>
  </si>
  <si>
    <t>(ПАО "Калужская сбытовая компания")</t>
  </si>
  <si>
    <t xml:space="preserve">Показатели, утвержденные на базовый период </t>
  </si>
  <si>
    <t>№191-ТЗ от 22 января 2019 г. на 2019-2021гг.</t>
  </si>
  <si>
    <t>тел.:  (4842) 701-801</t>
  </si>
  <si>
    <t>(4842) 701-852</t>
  </si>
  <si>
    <t>величина сбытовой надбавки для тарифной группы прочие потребители - по подгруппе в зависимости от величины максимальной мощности принадлежащих им энергопринимающих устройств:</t>
  </si>
  <si>
    <t>менее 670 кВт</t>
  </si>
  <si>
    <t>2023</t>
  </si>
  <si>
    <t>Новикова Г.В.</t>
  </si>
  <si>
    <t xml:space="preserve">менее 670 кВт </t>
  </si>
  <si>
    <t xml:space="preserve"> Приказ Министерства строительства и жилищно-коммунального хозяйства Калужской области № 305 от 16 июля 2021 г. "Об утверждении корректировки инвестиционной программы ПАО "Калужская сбытовая компания" на период с 2019 по 2021 год https://kskkaluga.ru</t>
  </si>
  <si>
    <t>Приказ Министерства строительства и ЖКХ Калужской области №480 от 18.11.2021   https://kskkaluga.ru</t>
  </si>
  <si>
    <t>** На 2022г-2023г. указана величина расчетной предпринимательской прибыли в соответствии с Методическими указаниями по расчету сбытовых надбавок, утвержденными Приказом ФАС № 1554/17 от 21.11.2017г.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</si>
</sst>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3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2" borderId="1" xfId="0" applyNumberFormat="1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3" fontId="0" fillId="3" borderId="2" xfId="0" applyNumberForma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vertical="top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6" fillId="0" borderId="2" xfId="1" applyBorder="1" applyAlignment="1" applyProtection="1">
      <alignment horizontal="left" vertical="center"/>
    </xf>
    <xf numFmtId="0" fontId="0" fillId="0" borderId="8" xfId="0" applyBorder="1" applyAlignment="1">
      <alignment horizontal="left" vertical="center"/>
    </xf>
    <xf numFmtId="3" fontId="0" fillId="0" borderId="0" xfId="0" applyNumberFormat="1"/>
    <xf numFmtId="0" fontId="0" fillId="0" borderId="15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49" fontId="0" fillId="0" borderId="16" xfId="0" applyNumberFormat="1" applyBorder="1" applyAlignment="1">
      <alignment horizontal="center" vertical="top" wrapText="1"/>
    </xf>
    <xf numFmtId="3" fontId="11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 wrapText="1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right"/>
    </xf>
    <xf numFmtId="3" fontId="0" fillId="0" borderId="18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3" fontId="0" fillId="0" borderId="23" xfId="0" applyNumberForma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12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9" xfId="0" applyFill="1" applyBorder="1" applyAlignment="1">
      <alignment horizontal="center" vertical="center" wrapText="1"/>
    </xf>
    <xf numFmtId="2" fontId="0" fillId="0" borderId="17" xfId="0" applyNumberFormat="1" applyFill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2" fontId="0" fillId="0" borderId="29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0" fillId="0" borderId="6" xfId="0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4" fontId="0" fillId="0" borderId="29" xfId="0" applyNumberForma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vertical="top" wrapText="1"/>
    </xf>
    <xf numFmtId="0" fontId="0" fillId="0" borderId="16" xfId="0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2" fillId="0" borderId="32" xfId="2" applyFont="1" applyBorder="1" applyAlignment="1">
      <alignment horizontal="center"/>
    </xf>
    <xf numFmtId="0" fontId="4" fillId="0" borderId="0" xfId="2" applyFont="1" applyAlignment="1">
      <alignment horizontal="center"/>
    </xf>
    <xf numFmtId="49" fontId="4" fillId="0" borderId="32" xfId="2" applyNumberFormat="1" applyFont="1" applyBorder="1" applyAlignment="1">
      <alignment horizontal="center"/>
    </xf>
    <xf numFmtId="0" fontId="3" fillId="0" borderId="0" xfId="2" applyFont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0" fillId="0" borderId="0" xfId="0" applyAlignment="1">
      <alignment horizontal="left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bat/&#1053;&#1040;&#1057;&#1045;&#1051;&#1045;&#1053;&#1048;&#1045;%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7;&#1072;&#1087;&#1086;&#1078;&#1085;&#1080;&#1082;&#1086;&#1074;&#1072;/&#1041;&#1080;&#1079;&#1085;&#1077;&#1089;_&#1087;&#1083;&#1072;&#1085;%202022/&#1041;&#1080;&#1079;&#1085;&#1077;&#1089;%20&#1087;&#1083;&#1072;&#1085;%2013_04_22%20&#1089;%20&#1080;&#1089;&#1087;&#1088;&#1072;&#1074;&#1083;%20&#1041;&#1091;&#1093;%20&#1086;&#1090;&#1095;/&#1041;&#1055;%202022%201%20&#1080;%202%20&#1082;&#1074;%20&#1082;&#1088;&#1072;&#1090;&#1082;&#1072;&#1103;%20&#1092;&#1086;&#1088;&#1084;&#1072;%20&#1042;&#1077;&#1088;&#1089;&#1080;&#1103;%2013_04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 I КСК_январь 18"/>
      <sheetName val="Раз I КСК_ф 18"/>
      <sheetName val="Раз 1 КСК м 18"/>
      <sheetName val="1 КВАРТАЛ"/>
      <sheetName val="Раз 1 апр 18"/>
      <sheetName val="Раз 1 май 18"/>
      <sheetName val="Раз 1 июнь 18"/>
      <sheetName val="2 КВАРТАЛ"/>
      <sheetName val="Раз I КСК_18 июль"/>
      <sheetName val="НАС авг"/>
      <sheetName val="НАС сен"/>
      <sheetName val="3кв"/>
      <sheetName val="НАС окт"/>
      <sheetName val="Нас нояб"/>
      <sheetName val="НАС дек"/>
      <sheetName val="4 кв"/>
      <sheetName val="ГОД"/>
      <sheetName val="1 и 2 кв"/>
      <sheetName val="ГОД (2)МАКЕ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>
        <row r="25">
          <cell r="C25">
            <v>0.33799999999999997</v>
          </cell>
        </row>
      </sheetData>
      <sheetData sheetId="12" refreshError="1"/>
      <sheetData sheetId="13" refreshError="1"/>
      <sheetData sheetId="14" refreshError="1"/>
      <sheetData sheetId="15">
        <row r="25">
          <cell r="C25">
            <v>0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4">
          <cell r="C64">
            <v>2245863.8519400004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ekretary@ksk.kaluga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9:DS17"/>
  <sheetViews>
    <sheetView tabSelected="1" workbookViewId="0">
      <selection activeCell="AL22" sqref="AL22"/>
    </sheetView>
  </sheetViews>
  <sheetFormatPr defaultColWidth="1.140625" defaultRowHeight="15.75" x14ac:dyDescent="0.25"/>
  <cols>
    <col min="1" max="16384" width="1.140625" style="58"/>
  </cols>
  <sheetData>
    <row r="9" spans="1:123" s="60" customFormat="1" ht="18.75" x14ac:dyDescent="0.3">
      <c r="A9" s="107" t="s">
        <v>129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</row>
    <row r="10" spans="1:123" s="60" customFormat="1" ht="18.75" x14ac:dyDescent="0.3">
      <c r="A10" s="107" t="s">
        <v>128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</row>
    <row r="11" spans="1:123" s="60" customFormat="1" ht="18.75" x14ac:dyDescent="0.3">
      <c r="BI11" s="62" t="s">
        <v>127</v>
      </c>
      <c r="BK11" s="108" t="s">
        <v>137</v>
      </c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D11" s="61" t="s">
        <v>126</v>
      </c>
    </row>
    <row r="12" spans="1:123" s="59" customFormat="1" ht="10.5" x14ac:dyDescent="0.2">
      <c r="BK12" s="109" t="s">
        <v>125</v>
      </c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</row>
    <row r="15" spans="1:123" x14ac:dyDescent="0.25">
      <c r="S15" s="106" t="s">
        <v>113</v>
      </c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</row>
    <row r="16" spans="1:123" s="59" customFormat="1" ht="10.5" x14ac:dyDescent="0.2">
      <c r="S16" s="109" t="s">
        <v>124</v>
      </c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</row>
    <row r="17" spans="19:105" x14ac:dyDescent="0.25">
      <c r="S17" s="106" t="s">
        <v>130</v>
      </c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</row>
  </sheetData>
  <mergeCells count="7">
    <mergeCell ref="S17:DA17"/>
    <mergeCell ref="A9:DS9"/>
    <mergeCell ref="A10:DS10"/>
    <mergeCell ref="BK11:CB11"/>
    <mergeCell ref="BK12:CB12"/>
    <mergeCell ref="S15:DA15"/>
    <mergeCell ref="S16:DA16"/>
  </mergeCells>
  <pageMargins left="0.39370078740157483" right="0.39370078740157483" top="0.78740157480314965" bottom="0.39370078740157483" header="0.27559055118110237" footer="0.27559055118110237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8"/>
  <sheetViews>
    <sheetView workbookViewId="0">
      <selection activeCell="I26" sqref="I26:I27"/>
    </sheetView>
  </sheetViews>
  <sheetFormatPr defaultRowHeight="15" x14ac:dyDescent="0.25"/>
  <cols>
    <col min="1" max="1" width="37.140625" customWidth="1"/>
    <col min="2" max="2" width="47.42578125" customWidth="1"/>
  </cols>
  <sheetData>
    <row r="1" spans="1:2" x14ac:dyDescent="0.25">
      <c r="A1" s="1"/>
      <c r="B1" s="1" t="s">
        <v>112</v>
      </c>
    </row>
    <row r="2" spans="1:2" x14ac:dyDescent="0.25">
      <c r="A2" s="1"/>
      <c r="B2" s="1" t="s">
        <v>1</v>
      </c>
    </row>
    <row r="3" spans="1:2" x14ac:dyDescent="0.25">
      <c r="A3" s="1"/>
      <c r="B3" s="1" t="s">
        <v>2</v>
      </c>
    </row>
    <row r="4" spans="1:2" x14ac:dyDescent="0.25">
      <c r="A4" s="1"/>
      <c r="B4" s="1" t="s">
        <v>3</v>
      </c>
    </row>
    <row r="5" spans="1:2" x14ac:dyDescent="0.25">
      <c r="A5" s="37"/>
      <c r="B5" s="39"/>
    </row>
    <row r="6" spans="1:2" x14ac:dyDescent="0.25">
      <c r="A6" s="37"/>
      <c r="B6" s="38"/>
    </row>
    <row r="7" spans="1:2" x14ac:dyDescent="0.25">
      <c r="A7" t="s">
        <v>101</v>
      </c>
    </row>
    <row r="9" spans="1:2" ht="30" customHeight="1" x14ac:dyDescent="0.25">
      <c r="A9" s="41" t="s">
        <v>102</v>
      </c>
      <c r="B9" s="40" t="s">
        <v>113</v>
      </c>
    </row>
    <row r="10" spans="1:2" ht="20.25" customHeight="1" x14ac:dyDescent="0.25">
      <c r="A10" s="42" t="s">
        <v>103</v>
      </c>
      <c r="B10" s="44" t="s">
        <v>114</v>
      </c>
    </row>
    <row r="11" spans="1:2" ht="20.25" customHeight="1" x14ac:dyDescent="0.25">
      <c r="A11" s="42" t="s">
        <v>104</v>
      </c>
      <c r="B11" s="45" t="s">
        <v>115</v>
      </c>
    </row>
    <row r="12" spans="1:2" ht="20.25" customHeight="1" x14ac:dyDescent="0.25">
      <c r="A12" s="42" t="s">
        <v>105</v>
      </c>
      <c r="B12" s="45" t="s">
        <v>115</v>
      </c>
    </row>
    <row r="13" spans="1:2" ht="20.25" customHeight="1" x14ac:dyDescent="0.25">
      <c r="A13" s="42" t="s">
        <v>106</v>
      </c>
      <c r="B13" s="45">
        <v>4029030252</v>
      </c>
    </row>
    <row r="14" spans="1:2" ht="20.25" customHeight="1" x14ac:dyDescent="0.25">
      <c r="A14" s="42" t="s">
        <v>107</v>
      </c>
      <c r="B14" s="45">
        <v>402801001</v>
      </c>
    </row>
    <row r="15" spans="1:2" ht="20.25" customHeight="1" x14ac:dyDescent="0.25">
      <c r="A15" s="42" t="s">
        <v>108</v>
      </c>
      <c r="B15" s="45" t="s">
        <v>138</v>
      </c>
    </row>
    <row r="16" spans="1:2" ht="20.25" customHeight="1" x14ac:dyDescent="0.25">
      <c r="A16" s="42" t="s">
        <v>109</v>
      </c>
      <c r="B16" s="46" t="s">
        <v>116</v>
      </c>
    </row>
    <row r="17" spans="1:2" ht="20.25" customHeight="1" x14ac:dyDescent="0.25">
      <c r="A17" s="42" t="s">
        <v>110</v>
      </c>
      <c r="B17" s="45" t="s">
        <v>133</v>
      </c>
    </row>
    <row r="18" spans="1:2" ht="20.25" customHeight="1" x14ac:dyDescent="0.25">
      <c r="A18" s="43" t="s">
        <v>111</v>
      </c>
      <c r="B18" s="47" t="s">
        <v>134</v>
      </c>
    </row>
  </sheetData>
  <hyperlinks>
    <hyperlink ref="B16" r:id="rId1" xr:uid="{00000000-0004-0000-01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0"/>
  <sheetViews>
    <sheetView zoomScale="90" zoomScaleNormal="90" workbookViewId="0">
      <pane ySplit="10" topLeftCell="A95" activePane="bottomLeft" state="frozen"/>
      <selection pane="bottomLeft" activeCell="E103" sqref="E103"/>
    </sheetView>
  </sheetViews>
  <sheetFormatPr defaultRowHeight="15" x14ac:dyDescent="0.25"/>
  <cols>
    <col min="2" max="2" width="51.140625" customWidth="1"/>
    <col min="3" max="3" width="12.28515625" customWidth="1"/>
    <col min="4" max="4" width="22.7109375" customWidth="1"/>
    <col min="5" max="5" width="20.5703125" customWidth="1"/>
    <col min="6" max="6" width="19.85546875" customWidth="1"/>
  </cols>
  <sheetData>
    <row r="1" spans="1:10" x14ac:dyDescent="0.25">
      <c r="F1" s="1" t="s">
        <v>0</v>
      </c>
    </row>
    <row r="2" spans="1:10" x14ac:dyDescent="0.25">
      <c r="F2" s="1" t="s">
        <v>1</v>
      </c>
    </row>
    <row r="3" spans="1:10" x14ac:dyDescent="0.25">
      <c r="F3" s="1" t="s">
        <v>2</v>
      </c>
    </row>
    <row r="4" spans="1:10" x14ac:dyDescent="0.25">
      <c r="F4" s="1" t="s">
        <v>3</v>
      </c>
    </row>
    <row r="6" spans="1:10" x14ac:dyDescent="0.25">
      <c r="A6" s="2"/>
    </row>
    <row r="7" spans="1:10" x14ac:dyDescent="0.25">
      <c r="C7" s="2" t="s">
        <v>89</v>
      </c>
    </row>
    <row r="8" spans="1:10" x14ac:dyDescent="0.25">
      <c r="D8" s="2"/>
    </row>
    <row r="9" spans="1:10" x14ac:dyDescent="0.25">
      <c r="A9" s="3"/>
      <c r="D9" s="8">
        <v>2021</v>
      </c>
      <c r="E9" s="8">
        <v>2022</v>
      </c>
      <c r="F9" s="8">
        <v>2023</v>
      </c>
    </row>
    <row r="10" spans="1:10" ht="70.5" customHeight="1" x14ac:dyDescent="0.25">
      <c r="A10" s="6" t="s">
        <v>4</v>
      </c>
      <c r="B10" s="25" t="s">
        <v>5</v>
      </c>
      <c r="C10" s="6" t="s">
        <v>6</v>
      </c>
      <c r="D10" s="55" t="s">
        <v>7</v>
      </c>
      <c r="E10" s="71" t="s">
        <v>131</v>
      </c>
      <c r="F10" s="71" t="s">
        <v>9</v>
      </c>
    </row>
    <row r="11" spans="1:10" ht="33" customHeight="1" x14ac:dyDescent="0.25">
      <c r="A11" s="68" t="s">
        <v>10</v>
      </c>
      <c r="B11" s="69" t="s">
        <v>11</v>
      </c>
      <c r="C11" s="68"/>
      <c r="D11" s="63">
        <f>D13+D63+D73</f>
        <v>5276034.8710000003</v>
      </c>
      <c r="E11" s="63">
        <f>E13+E63+E73</f>
        <v>4950710</v>
      </c>
      <c r="F11" s="70">
        <v>5248700</v>
      </c>
    </row>
    <row r="12" spans="1:10" ht="21.75" customHeight="1" x14ac:dyDescent="0.25">
      <c r="A12" s="64"/>
      <c r="B12" s="26" t="s">
        <v>12</v>
      </c>
      <c r="C12" s="64"/>
      <c r="D12" s="9"/>
      <c r="E12" s="9"/>
      <c r="F12" s="10"/>
    </row>
    <row r="13" spans="1:10" ht="37.5" customHeight="1" x14ac:dyDescent="0.25">
      <c r="A13" s="64" t="s">
        <v>13</v>
      </c>
      <c r="B13" s="26" t="s">
        <v>14</v>
      </c>
      <c r="C13" s="67" t="s">
        <v>15</v>
      </c>
      <c r="D13" s="96">
        <f>D14</f>
        <v>1346322.014</v>
      </c>
      <c r="E13" s="96">
        <f>E14</f>
        <v>1135200</v>
      </c>
      <c r="F13" s="97">
        <f>F14</f>
        <v>1380000</v>
      </c>
    </row>
    <row r="14" spans="1:10" ht="21.75" customHeight="1" x14ac:dyDescent="0.25">
      <c r="A14" s="116" t="s">
        <v>16</v>
      </c>
      <c r="B14" s="26" t="s">
        <v>17</v>
      </c>
      <c r="C14" s="64" t="s">
        <v>15</v>
      </c>
      <c r="D14" s="9">
        <f t="shared" ref="D14:F16" si="0">D22+D29+D36+D43+D50+D57</f>
        <v>1346322.014</v>
      </c>
      <c r="E14" s="9">
        <f t="shared" si="0"/>
        <v>1135200</v>
      </c>
      <c r="F14" s="10">
        <f t="shared" si="0"/>
        <v>1380000</v>
      </c>
      <c r="J14" s="48"/>
    </row>
    <row r="15" spans="1:10" ht="21.75" customHeight="1" x14ac:dyDescent="0.25">
      <c r="A15" s="116"/>
      <c r="B15" s="27" t="s">
        <v>18</v>
      </c>
      <c r="C15" s="64" t="s">
        <v>15</v>
      </c>
      <c r="D15" s="9">
        <f t="shared" si="0"/>
        <v>701217.67599999998</v>
      </c>
      <c r="E15" s="9">
        <f t="shared" si="0"/>
        <v>586766</v>
      </c>
      <c r="F15" s="10">
        <f>F23+F30+F37+F44+F51+F58</f>
        <v>717000</v>
      </c>
      <c r="H15" s="48"/>
    </row>
    <row r="16" spans="1:10" ht="21.75" customHeight="1" x14ac:dyDescent="0.25">
      <c r="A16" s="116"/>
      <c r="B16" s="27" t="s">
        <v>19</v>
      </c>
      <c r="C16" s="64" t="s">
        <v>15</v>
      </c>
      <c r="D16" s="9">
        <f>D24+D31+D38+D45+D52+D59</f>
        <v>645104.33799999999</v>
      </c>
      <c r="E16" s="9">
        <f t="shared" si="0"/>
        <v>548434</v>
      </c>
      <c r="F16" s="10">
        <f t="shared" si="0"/>
        <v>663000</v>
      </c>
    </row>
    <row r="17" spans="1:6" ht="21.75" customHeight="1" x14ac:dyDescent="0.25">
      <c r="A17" s="116" t="s">
        <v>20</v>
      </c>
      <c r="B17" s="26" t="s">
        <v>21</v>
      </c>
      <c r="C17" s="64" t="s">
        <v>15</v>
      </c>
      <c r="D17" s="9">
        <v>0</v>
      </c>
      <c r="E17" s="9">
        <v>0</v>
      </c>
      <c r="F17" s="10"/>
    </row>
    <row r="18" spans="1:6" ht="21.75" customHeight="1" x14ac:dyDescent="0.25">
      <c r="A18" s="116"/>
      <c r="B18" s="27" t="s">
        <v>18</v>
      </c>
      <c r="C18" s="64" t="s">
        <v>15</v>
      </c>
      <c r="D18" s="9">
        <v>0</v>
      </c>
      <c r="E18" s="9">
        <v>0</v>
      </c>
      <c r="F18" s="10"/>
    </row>
    <row r="19" spans="1:6" ht="21.75" customHeight="1" x14ac:dyDescent="0.25">
      <c r="A19" s="116"/>
      <c r="B19" s="27" t="s">
        <v>19</v>
      </c>
      <c r="C19" s="64" t="s">
        <v>15</v>
      </c>
      <c r="D19" s="9">
        <v>0</v>
      </c>
      <c r="E19" s="9">
        <v>0</v>
      </c>
      <c r="F19" s="10"/>
    </row>
    <row r="20" spans="1:6" ht="21.75" customHeight="1" x14ac:dyDescent="0.25">
      <c r="A20" s="116"/>
      <c r="B20" s="26" t="s">
        <v>12</v>
      </c>
      <c r="C20" s="64" t="s">
        <v>15</v>
      </c>
      <c r="D20" s="9"/>
      <c r="E20" s="9"/>
      <c r="F20" s="10"/>
    </row>
    <row r="21" spans="1:6" ht="64.5" customHeight="1" x14ac:dyDescent="0.25">
      <c r="A21" s="64" t="s">
        <v>22</v>
      </c>
      <c r="B21" s="26" t="s">
        <v>23</v>
      </c>
      <c r="C21" s="64" t="s">
        <v>15</v>
      </c>
      <c r="D21" s="9">
        <f>D22</f>
        <v>580216.35900000005</v>
      </c>
      <c r="E21" s="9">
        <f>E22</f>
        <v>508736</v>
      </c>
      <c r="F21" s="10">
        <f>F22</f>
        <v>599904</v>
      </c>
    </row>
    <row r="22" spans="1:6" ht="21.75" customHeight="1" x14ac:dyDescent="0.25">
      <c r="A22" s="116" t="s">
        <v>24</v>
      </c>
      <c r="B22" s="28" t="s">
        <v>17</v>
      </c>
      <c r="C22" s="56" t="s">
        <v>15</v>
      </c>
      <c r="D22" s="14">
        <f>D23+D24</f>
        <v>580216.35900000005</v>
      </c>
      <c r="E22" s="14">
        <f>E23+E24</f>
        <v>508736</v>
      </c>
      <c r="F22" s="15">
        <f>F23+F24</f>
        <v>599904</v>
      </c>
    </row>
    <row r="23" spans="1:6" ht="21.75" customHeight="1" x14ac:dyDescent="0.25">
      <c r="A23" s="116"/>
      <c r="B23" s="27" t="s">
        <v>18</v>
      </c>
      <c r="C23" s="64" t="s">
        <v>15</v>
      </c>
      <c r="D23" s="9">
        <v>296238.03200000001</v>
      </c>
      <c r="E23" s="9">
        <f>262957</f>
        <v>262957</v>
      </c>
      <c r="F23" s="10">
        <f>311689</f>
        <v>311689</v>
      </c>
    </row>
    <row r="24" spans="1:6" ht="21.75" customHeight="1" x14ac:dyDescent="0.25">
      <c r="A24" s="116"/>
      <c r="B24" s="27" t="s">
        <v>19</v>
      </c>
      <c r="C24" s="64" t="s">
        <v>15</v>
      </c>
      <c r="D24" s="9">
        <v>283978.32700000005</v>
      </c>
      <c r="E24" s="9">
        <f>245779</f>
        <v>245779</v>
      </c>
      <c r="F24" s="10">
        <f>288215</f>
        <v>288215</v>
      </c>
    </row>
    <row r="25" spans="1:6" ht="21.75" customHeight="1" x14ac:dyDescent="0.25">
      <c r="A25" s="116" t="s">
        <v>25</v>
      </c>
      <c r="B25" s="26" t="s">
        <v>21</v>
      </c>
      <c r="C25" s="64" t="s">
        <v>15</v>
      </c>
      <c r="D25" s="9">
        <v>0</v>
      </c>
      <c r="E25" s="9">
        <v>0</v>
      </c>
      <c r="F25" s="10"/>
    </row>
    <row r="26" spans="1:6" ht="21.75" customHeight="1" x14ac:dyDescent="0.25">
      <c r="A26" s="116"/>
      <c r="B26" s="27" t="s">
        <v>18</v>
      </c>
      <c r="C26" s="64" t="s">
        <v>15</v>
      </c>
      <c r="D26" s="9"/>
      <c r="E26" s="9"/>
      <c r="F26" s="10"/>
    </row>
    <row r="27" spans="1:6" ht="21.75" customHeight="1" x14ac:dyDescent="0.25">
      <c r="A27" s="116"/>
      <c r="B27" s="27" t="s">
        <v>19</v>
      </c>
      <c r="C27" s="64" t="s">
        <v>15</v>
      </c>
      <c r="D27" s="9"/>
      <c r="E27" s="9"/>
      <c r="F27" s="10"/>
    </row>
    <row r="28" spans="1:6" ht="51.75" customHeight="1" x14ac:dyDescent="0.25">
      <c r="A28" s="64" t="s">
        <v>26</v>
      </c>
      <c r="B28" s="26" t="s">
        <v>27</v>
      </c>
      <c r="C28" s="64" t="s">
        <v>15</v>
      </c>
      <c r="D28" s="9">
        <f>D29</f>
        <v>119127.54500000001</v>
      </c>
      <c r="E28" s="9">
        <f>E29</f>
        <v>94497</v>
      </c>
      <c r="F28" s="9">
        <f>F29</f>
        <v>119924</v>
      </c>
    </row>
    <row r="29" spans="1:6" ht="21.75" customHeight="1" x14ac:dyDescent="0.25">
      <c r="A29" s="116" t="s">
        <v>28</v>
      </c>
      <c r="B29" s="28" t="s">
        <v>17</v>
      </c>
      <c r="C29" s="56" t="s">
        <v>15</v>
      </c>
      <c r="D29" s="14">
        <f>D30+D31</f>
        <v>119127.54500000001</v>
      </c>
      <c r="E29" s="14">
        <f>E30+E31</f>
        <v>94497</v>
      </c>
      <c r="F29" s="15">
        <f>F30+F31</f>
        <v>119924</v>
      </c>
    </row>
    <row r="30" spans="1:6" ht="21.75" customHeight="1" x14ac:dyDescent="0.25">
      <c r="A30" s="116"/>
      <c r="B30" s="27" t="s">
        <v>18</v>
      </c>
      <c r="C30" s="64" t="s">
        <v>15</v>
      </c>
      <c r="D30" s="9">
        <v>60251.29</v>
      </c>
      <c r="E30" s="9">
        <f>48844</f>
        <v>48844</v>
      </c>
      <c r="F30" s="10">
        <f>62308</f>
        <v>62308</v>
      </c>
    </row>
    <row r="31" spans="1:6" ht="21.75" customHeight="1" x14ac:dyDescent="0.25">
      <c r="A31" s="116"/>
      <c r="B31" s="27" t="s">
        <v>19</v>
      </c>
      <c r="C31" s="64" t="s">
        <v>15</v>
      </c>
      <c r="D31" s="9">
        <v>58876.255000000012</v>
      </c>
      <c r="E31" s="9">
        <f>45653</f>
        <v>45653</v>
      </c>
      <c r="F31" s="10">
        <f>57616</f>
        <v>57616</v>
      </c>
    </row>
    <row r="32" spans="1:6" ht="21.75" customHeight="1" x14ac:dyDescent="0.25">
      <c r="A32" s="116" t="s">
        <v>29</v>
      </c>
      <c r="B32" s="26" t="s">
        <v>21</v>
      </c>
      <c r="C32" s="64" t="s">
        <v>15</v>
      </c>
      <c r="D32" s="9">
        <v>0</v>
      </c>
      <c r="E32" s="9">
        <v>0</v>
      </c>
      <c r="F32" s="10"/>
    </row>
    <row r="33" spans="1:6" ht="21.75" customHeight="1" x14ac:dyDescent="0.25">
      <c r="A33" s="116"/>
      <c r="B33" s="27" t="s">
        <v>18</v>
      </c>
      <c r="C33" s="64" t="s">
        <v>15</v>
      </c>
      <c r="D33" s="9"/>
      <c r="E33" s="9"/>
      <c r="F33" s="10"/>
    </row>
    <row r="34" spans="1:6" ht="21.75" customHeight="1" x14ac:dyDescent="0.25">
      <c r="A34" s="116"/>
      <c r="B34" s="27" t="s">
        <v>19</v>
      </c>
      <c r="C34" s="64" t="s">
        <v>15</v>
      </c>
      <c r="D34" s="9"/>
      <c r="E34" s="9"/>
      <c r="F34" s="10"/>
    </row>
    <row r="35" spans="1:6" ht="62.25" customHeight="1" x14ac:dyDescent="0.25">
      <c r="A35" s="64" t="s">
        <v>30</v>
      </c>
      <c r="B35" s="26" t="s">
        <v>31</v>
      </c>
      <c r="C35" s="64" t="s">
        <v>15</v>
      </c>
      <c r="D35" s="9">
        <v>0</v>
      </c>
      <c r="E35" s="9">
        <f>E36</f>
        <v>0</v>
      </c>
      <c r="F35" s="10">
        <f>F36</f>
        <v>0</v>
      </c>
    </row>
    <row r="36" spans="1:6" ht="21.75" customHeight="1" x14ac:dyDescent="0.25">
      <c r="A36" s="116" t="s">
        <v>32</v>
      </c>
      <c r="B36" s="28" t="s">
        <v>17</v>
      </c>
      <c r="C36" s="56" t="s">
        <v>15</v>
      </c>
      <c r="D36" s="14">
        <f>D37+D38</f>
        <v>0</v>
      </c>
      <c r="E36" s="14">
        <f>E37+E38</f>
        <v>0</v>
      </c>
      <c r="F36" s="15">
        <f>F37+F38</f>
        <v>0</v>
      </c>
    </row>
    <row r="37" spans="1:6" ht="21.75" customHeight="1" x14ac:dyDescent="0.25">
      <c r="A37" s="116"/>
      <c r="B37" s="27" t="s">
        <v>18</v>
      </c>
      <c r="C37" s="64" t="s">
        <v>15</v>
      </c>
      <c r="D37" s="9">
        <v>0</v>
      </c>
      <c r="E37" s="9">
        <v>0</v>
      </c>
      <c r="F37" s="10">
        <v>0</v>
      </c>
    </row>
    <row r="38" spans="1:6" ht="21.75" customHeight="1" x14ac:dyDescent="0.25">
      <c r="A38" s="116"/>
      <c r="B38" s="27" t="s">
        <v>19</v>
      </c>
      <c r="C38" s="64" t="s">
        <v>15</v>
      </c>
      <c r="D38" s="9"/>
      <c r="E38" s="9"/>
      <c r="F38" s="10"/>
    </row>
    <row r="39" spans="1:6" ht="21.75" customHeight="1" x14ac:dyDescent="0.25">
      <c r="A39" s="116" t="s">
        <v>33</v>
      </c>
      <c r="B39" s="26" t="s">
        <v>21</v>
      </c>
      <c r="C39" s="64" t="s">
        <v>15</v>
      </c>
      <c r="D39" s="9">
        <v>0</v>
      </c>
      <c r="E39" s="9">
        <v>0</v>
      </c>
      <c r="F39" s="10">
        <v>0</v>
      </c>
    </row>
    <row r="40" spans="1:6" ht="21.75" customHeight="1" x14ac:dyDescent="0.25">
      <c r="A40" s="116"/>
      <c r="B40" s="27" t="s">
        <v>18</v>
      </c>
      <c r="C40" s="64" t="s">
        <v>15</v>
      </c>
      <c r="D40" s="9"/>
      <c r="E40" s="9"/>
      <c r="F40" s="10"/>
    </row>
    <row r="41" spans="1:6" ht="21.75" customHeight="1" x14ac:dyDescent="0.25">
      <c r="A41" s="116"/>
      <c r="B41" s="27" t="s">
        <v>19</v>
      </c>
      <c r="C41" s="64" t="s">
        <v>15</v>
      </c>
      <c r="D41" s="9"/>
      <c r="E41" s="9"/>
      <c r="F41" s="10"/>
    </row>
    <row r="42" spans="1:6" ht="66" customHeight="1" x14ac:dyDescent="0.25">
      <c r="A42" s="64" t="s">
        <v>34</v>
      </c>
      <c r="B42" s="26" t="s">
        <v>35</v>
      </c>
      <c r="C42" s="64" t="s">
        <v>15</v>
      </c>
      <c r="D42" s="9">
        <v>0</v>
      </c>
      <c r="E42" s="9">
        <f>E43</f>
        <v>0</v>
      </c>
      <c r="F42" s="10">
        <f>F43</f>
        <v>0</v>
      </c>
    </row>
    <row r="43" spans="1:6" ht="21.75" customHeight="1" x14ac:dyDescent="0.25">
      <c r="A43" s="116" t="s">
        <v>36</v>
      </c>
      <c r="B43" s="28" t="s">
        <v>17</v>
      </c>
      <c r="C43" s="56" t="s">
        <v>15</v>
      </c>
      <c r="D43" s="14">
        <f>D44+D45</f>
        <v>0.33799999999999997</v>
      </c>
      <c r="E43" s="14">
        <f>E44+E45</f>
        <v>0</v>
      </c>
      <c r="F43" s="15">
        <f>F44+F45</f>
        <v>0</v>
      </c>
    </row>
    <row r="44" spans="1:6" ht="21.75" customHeight="1" x14ac:dyDescent="0.25">
      <c r="A44" s="116"/>
      <c r="B44" s="27" t="s">
        <v>18</v>
      </c>
      <c r="C44" s="64" t="s">
        <v>15</v>
      </c>
      <c r="D44" s="9">
        <v>0</v>
      </c>
      <c r="E44" s="9">
        <v>0</v>
      </c>
      <c r="F44" s="10"/>
    </row>
    <row r="45" spans="1:6" ht="21.75" customHeight="1" x14ac:dyDescent="0.25">
      <c r="A45" s="116"/>
      <c r="B45" s="27" t="s">
        <v>19</v>
      </c>
      <c r="C45" s="64" t="s">
        <v>15</v>
      </c>
      <c r="D45" s="9">
        <f>'[1]3кв'!$C$25+'[1]4 кв'!$C$25</f>
        <v>0.33799999999999997</v>
      </c>
      <c r="E45" s="9"/>
      <c r="F45" s="10"/>
    </row>
    <row r="46" spans="1:6" ht="21.75" customHeight="1" x14ac:dyDescent="0.25">
      <c r="A46" s="116" t="s">
        <v>37</v>
      </c>
      <c r="B46" s="26" t="s">
        <v>21</v>
      </c>
      <c r="C46" s="64" t="s">
        <v>15</v>
      </c>
      <c r="D46" s="9">
        <v>0</v>
      </c>
      <c r="E46" s="9">
        <v>0</v>
      </c>
      <c r="F46" s="10"/>
    </row>
    <row r="47" spans="1:6" ht="21.75" customHeight="1" x14ac:dyDescent="0.25">
      <c r="A47" s="116"/>
      <c r="B47" s="27" t="s">
        <v>18</v>
      </c>
      <c r="C47" s="64" t="s">
        <v>15</v>
      </c>
      <c r="D47" s="9"/>
      <c r="E47" s="9"/>
      <c r="F47" s="10"/>
    </row>
    <row r="48" spans="1:6" ht="21.75" customHeight="1" x14ac:dyDescent="0.25">
      <c r="A48" s="116"/>
      <c r="B48" s="27" t="s">
        <v>19</v>
      </c>
      <c r="C48" s="64" t="s">
        <v>15</v>
      </c>
      <c r="D48" s="9"/>
      <c r="E48" s="9"/>
      <c r="F48" s="10"/>
    </row>
    <row r="49" spans="1:6" ht="34.5" customHeight="1" x14ac:dyDescent="0.25">
      <c r="A49" s="64" t="s">
        <v>38</v>
      </c>
      <c r="B49" s="26" t="s">
        <v>39</v>
      </c>
      <c r="C49" s="64" t="s">
        <v>15</v>
      </c>
      <c r="D49" s="9">
        <f>D50</f>
        <v>507995.57199999999</v>
      </c>
      <c r="E49" s="9">
        <f>E50</f>
        <v>410847</v>
      </c>
      <c r="F49" s="10">
        <f>F50</f>
        <v>526507</v>
      </c>
    </row>
    <row r="50" spans="1:6" ht="21.75" customHeight="1" x14ac:dyDescent="0.25">
      <c r="A50" s="116" t="s">
        <v>40</v>
      </c>
      <c r="B50" s="28" t="s">
        <v>17</v>
      </c>
      <c r="C50" s="56" t="s">
        <v>15</v>
      </c>
      <c r="D50" s="14">
        <f>D51+D52</f>
        <v>507995.57199999999</v>
      </c>
      <c r="E50" s="14">
        <f>E51+E52</f>
        <v>410847</v>
      </c>
      <c r="F50" s="15">
        <f>F51+F52</f>
        <v>526507</v>
      </c>
    </row>
    <row r="51" spans="1:6" ht="21.75" customHeight="1" x14ac:dyDescent="0.25">
      <c r="A51" s="116"/>
      <c r="B51" s="27" t="s">
        <v>18</v>
      </c>
      <c r="C51" s="64" t="s">
        <v>15</v>
      </c>
      <c r="D51" s="9">
        <v>277342.57199999999</v>
      </c>
      <c r="E51" s="9">
        <f>212360</f>
        <v>212360</v>
      </c>
      <c r="F51" s="10">
        <f>273555</f>
        <v>273555</v>
      </c>
    </row>
    <row r="52" spans="1:6" ht="21.75" customHeight="1" x14ac:dyDescent="0.25">
      <c r="A52" s="116"/>
      <c r="B52" s="27" t="s">
        <v>19</v>
      </c>
      <c r="C52" s="64" t="s">
        <v>15</v>
      </c>
      <c r="D52" s="9">
        <v>230653</v>
      </c>
      <c r="E52" s="9">
        <f>198487</f>
        <v>198487</v>
      </c>
      <c r="F52" s="10">
        <f>252952</f>
        <v>252952</v>
      </c>
    </row>
    <row r="53" spans="1:6" ht="21.75" customHeight="1" x14ac:dyDescent="0.25">
      <c r="A53" s="116" t="s">
        <v>41</v>
      </c>
      <c r="B53" s="26" t="s">
        <v>21</v>
      </c>
      <c r="C53" s="64" t="s">
        <v>15</v>
      </c>
      <c r="D53" s="9"/>
      <c r="E53" s="9"/>
      <c r="F53" s="10"/>
    </row>
    <row r="54" spans="1:6" ht="21.75" customHeight="1" x14ac:dyDescent="0.25">
      <c r="A54" s="116"/>
      <c r="B54" s="27" t="s">
        <v>18</v>
      </c>
      <c r="C54" s="64" t="s">
        <v>15</v>
      </c>
      <c r="D54" s="9"/>
      <c r="E54" s="9"/>
      <c r="F54" s="10"/>
    </row>
    <row r="55" spans="1:6" ht="21.75" customHeight="1" x14ac:dyDescent="0.25">
      <c r="A55" s="116"/>
      <c r="B55" s="27" t="s">
        <v>19</v>
      </c>
      <c r="C55" s="64" t="s">
        <v>15</v>
      </c>
      <c r="D55" s="9"/>
      <c r="E55" s="9"/>
      <c r="F55" s="10"/>
    </row>
    <row r="56" spans="1:6" ht="23.25" customHeight="1" x14ac:dyDescent="0.25">
      <c r="A56" s="64" t="s">
        <v>42</v>
      </c>
      <c r="B56" s="26" t="s">
        <v>43</v>
      </c>
      <c r="C56" s="64" t="s">
        <v>15</v>
      </c>
      <c r="D56" s="9">
        <f>D57</f>
        <v>138982.19999999995</v>
      </c>
      <c r="E56" s="9">
        <f>E57</f>
        <v>121120</v>
      </c>
      <c r="F56" s="10">
        <f>F57</f>
        <v>133665</v>
      </c>
    </row>
    <row r="57" spans="1:6" ht="21.75" customHeight="1" x14ac:dyDescent="0.25">
      <c r="A57" s="64" t="s">
        <v>44</v>
      </c>
      <c r="B57" s="28" t="s">
        <v>17</v>
      </c>
      <c r="C57" s="56" t="s">
        <v>15</v>
      </c>
      <c r="D57" s="14">
        <f>D58+D59</f>
        <v>138982.19999999995</v>
      </c>
      <c r="E57" s="14">
        <f>E58+E59</f>
        <v>121120</v>
      </c>
      <c r="F57" s="15">
        <f>F58+F59</f>
        <v>133665</v>
      </c>
    </row>
    <row r="58" spans="1:6" ht="21.75" customHeight="1" x14ac:dyDescent="0.25">
      <c r="A58" s="64"/>
      <c r="B58" s="27" t="s">
        <v>18</v>
      </c>
      <c r="C58" s="64" t="s">
        <v>15</v>
      </c>
      <c r="D58" s="20">
        <f>701217.676-D51-D30-D23</f>
        <v>67385.782000000007</v>
      </c>
      <c r="E58" s="9">
        <f>62605</f>
        <v>62605</v>
      </c>
      <c r="F58" s="10">
        <f>69448</f>
        <v>69448</v>
      </c>
    </row>
    <row r="59" spans="1:6" ht="21.75" customHeight="1" x14ac:dyDescent="0.25">
      <c r="A59" s="64"/>
      <c r="B59" s="27" t="s">
        <v>19</v>
      </c>
      <c r="C59" s="64" t="s">
        <v>15</v>
      </c>
      <c r="D59" s="20">
        <f>645104-D52-D31-D24</f>
        <v>71596.417999999947</v>
      </c>
      <c r="E59" s="9">
        <f>58515</f>
        <v>58515</v>
      </c>
      <c r="F59" s="10">
        <f>64217</f>
        <v>64217</v>
      </c>
    </row>
    <row r="60" spans="1:6" ht="21.75" customHeight="1" x14ac:dyDescent="0.25">
      <c r="A60" s="64" t="s">
        <v>45</v>
      </c>
      <c r="B60" s="26" t="s">
        <v>21</v>
      </c>
      <c r="C60" s="64" t="s">
        <v>15</v>
      </c>
      <c r="D60" s="9"/>
      <c r="E60" s="9"/>
      <c r="F60" s="10"/>
    </row>
    <row r="61" spans="1:6" ht="21.75" customHeight="1" x14ac:dyDescent="0.25">
      <c r="A61" s="64"/>
      <c r="B61" s="27" t="s">
        <v>18</v>
      </c>
      <c r="C61" s="64" t="s">
        <v>15</v>
      </c>
      <c r="D61" s="9"/>
      <c r="E61" s="9"/>
      <c r="F61" s="10"/>
    </row>
    <row r="62" spans="1:6" ht="21.75" customHeight="1" x14ac:dyDescent="0.25">
      <c r="A62" s="64"/>
      <c r="B62" s="27" t="s">
        <v>19</v>
      </c>
      <c r="C62" s="64" t="s">
        <v>15</v>
      </c>
      <c r="D62" s="9"/>
      <c r="E62" s="9"/>
      <c r="F62" s="10"/>
    </row>
    <row r="63" spans="1:6" ht="50.25" customHeight="1" x14ac:dyDescent="0.25">
      <c r="A63" s="113" t="s">
        <v>46</v>
      </c>
      <c r="B63" s="26" t="s">
        <v>47</v>
      </c>
      <c r="C63" s="64" t="s">
        <v>15</v>
      </c>
      <c r="D63" s="18">
        <f>D64+D67+D70</f>
        <v>3340036.1510000001</v>
      </c>
      <c r="E63" s="18">
        <f>E64+E67+E70</f>
        <v>3013180</v>
      </c>
      <c r="F63" s="18">
        <f>F64+F67+F70</f>
        <v>3279031</v>
      </c>
    </row>
    <row r="64" spans="1:6" ht="21.75" customHeight="1" x14ac:dyDescent="0.25">
      <c r="A64" s="114"/>
      <c r="B64" s="29" t="s">
        <v>139</v>
      </c>
      <c r="C64" s="57" t="s">
        <v>15</v>
      </c>
      <c r="D64" s="16">
        <f>SUM(D65:D66)</f>
        <v>1506246.4029999999</v>
      </c>
      <c r="E64" s="16">
        <f>SUM(E65:E66)</f>
        <v>1334760</v>
      </c>
      <c r="F64" s="17">
        <f>SUM(F65:F66)</f>
        <v>1473794</v>
      </c>
    </row>
    <row r="65" spans="1:6" ht="21.75" customHeight="1" x14ac:dyDescent="0.25">
      <c r="A65" s="114"/>
      <c r="B65" s="27" t="s">
        <v>18</v>
      </c>
      <c r="C65" s="64" t="s">
        <v>15</v>
      </c>
      <c r="D65" s="9">
        <v>762759.37899999996</v>
      </c>
      <c r="E65" s="9">
        <f>634570</f>
        <v>634570</v>
      </c>
      <c r="F65" s="10">
        <f>711016</f>
        <v>711016</v>
      </c>
    </row>
    <row r="66" spans="1:6" ht="21.75" customHeight="1" x14ac:dyDescent="0.25">
      <c r="A66" s="114"/>
      <c r="B66" s="27" t="s">
        <v>19</v>
      </c>
      <c r="C66" s="64" t="s">
        <v>15</v>
      </c>
      <c r="D66" s="9">
        <v>743487.02399999998</v>
      </c>
      <c r="E66" s="9">
        <f>700190</f>
        <v>700190</v>
      </c>
      <c r="F66" s="10">
        <f>762778</f>
        <v>762778</v>
      </c>
    </row>
    <row r="67" spans="1:6" ht="21.75" customHeight="1" x14ac:dyDescent="0.25">
      <c r="A67" s="114"/>
      <c r="B67" s="29" t="s">
        <v>48</v>
      </c>
      <c r="C67" s="57" t="s">
        <v>15</v>
      </c>
      <c r="D67" s="16">
        <f>SUM(D68:D69)</f>
        <v>1217892.753</v>
      </c>
      <c r="E67" s="16">
        <f>SUM(E68:E69)</f>
        <v>1125540</v>
      </c>
      <c r="F67" s="17">
        <f>SUM(F68:F69)</f>
        <v>1194694</v>
      </c>
    </row>
    <row r="68" spans="1:6" ht="21.75" customHeight="1" x14ac:dyDescent="0.25">
      <c r="A68" s="114"/>
      <c r="B68" s="27" t="s">
        <v>18</v>
      </c>
      <c r="C68" s="64" t="s">
        <v>15</v>
      </c>
      <c r="D68" s="9">
        <v>592610.48600000003</v>
      </c>
      <c r="E68" s="9">
        <f>535100</f>
        <v>535100</v>
      </c>
      <c r="F68" s="10">
        <f>576368</f>
        <v>576368</v>
      </c>
    </row>
    <row r="69" spans="1:6" ht="21.75" customHeight="1" x14ac:dyDescent="0.25">
      <c r="A69" s="114"/>
      <c r="B69" s="27" t="s">
        <v>19</v>
      </c>
      <c r="C69" s="64" t="s">
        <v>15</v>
      </c>
      <c r="D69" s="9">
        <v>625282.26699999999</v>
      </c>
      <c r="E69" s="9">
        <f>590440</f>
        <v>590440</v>
      </c>
      <c r="F69" s="10">
        <f>618326</f>
        <v>618326</v>
      </c>
    </row>
    <row r="70" spans="1:6" ht="21.75" customHeight="1" x14ac:dyDescent="0.25">
      <c r="A70" s="114"/>
      <c r="B70" s="29" t="s">
        <v>49</v>
      </c>
      <c r="C70" s="57" t="s">
        <v>15</v>
      </c>
      <c r="D70" s="16">
        <f>SUM(D71:D72)</f>
        <v>615896.995</v>
      </c>
      <c r="E70" s="16">
        <f>SUM(E71:E72)</f>
        <v>552880</v>
      </c>
      <c r="F70" s="17">
        <f>SUM(F71:F72)</f>
        <v>610543</v>
      </c>
    </row>
    <row r="71" spans="1:6" ht="21.75" customHeight="1" x14ac:dyDescent="0.25">
      <c r="A71" s="114"/>
      <c r="B71" s="27" t="s">
        <v>18</v>
      </c>
      <c r="C71" s="64" t="s">
        <v>15</v>
      </c>
      <c r="D71" s="9">
        <v>312634.87600000005</v>
      </c>
      <c r="E71" s="9">
        <f>262850</f>
        <v>262850</v>
      </c>
      <c r="F71" s="10">
        <f>294550</f>
        <v>294550</v>
      </c>
    </row>
    <row r="72" spans="1:6" ht="21.75" customHeight="1" x14ac:dyDescent="0.25">
      <c r="A72" s="115"/>
      <c r="B72" s="27" t="s">
        <v>19</v>
      </c>
      <c r="C72" s="64" t="s">
        <v>15</v>
      </c>
      <c r="D72" s="9">
        <v>303262.11899999995</v>
      </c>
      <c r="E72" s="9">
        <f>290030</f>
        <v>290030</v>
      </c>
      <c r="F72" s="10">
        <f>315993</f>
        <v>315993</v>
      </c>
    </row>
    <row r="73" spans="1:6" ht="47.25" customHeight="1" x14ac:dyDescent="0.25">
      <c r="A73" s="116" t="s">
        <v>50</v>
      </c>
      <c r="B73" s="26" t="s">
        <v>51</v>
      </c>
      <c r="C73" s="64" t="s">
        <v>15</v>
      </c>
      <c r="D73" s="18">
        <f>SUM(D74:D75)</f>
        <v>589676.70599999989</v>
      </c>
      <c r="E73" s="18">
        <f>SUM(E74:E75)</f>
        <v>802330</v>
      </c>
      <c r="F73" s="19">
        <f>SUM(F74:F75)</f>
        <v>589670</v>
      </c>
    </row>
    <row r="74" spans="1:6" ht="21.75" customHeight="1" x14ac:dyDescent="0.25">
      <c r="A74" s="116"/>
      <c r="B74" s="27" t="s">
        <v>52</v>
      </c>
      <c r="C74" s="64" t="s">
        <v>15</v>
      </c>
      <c r="D74" s="9">
        <v>276693.32799999998</v>
      </c>
      <c r="E74" s="9">
        <f>435320</f>
        <v>435320</v>
      </c>
      <c r="F74" s="10">
        <f>302.453*1000</f>
        <v>302453</v>
      </c>
    </row>
    <row r="75" spans="1:6" ht="21.75" customHeight="1" x14ac:dyDescent="0.25">
      <c r="A75" s="116"/>
      <c r="B75" s="27" t="s">
        <v>53</v>
      </c>
      <c r="C75" s="64" t="s">
        <v>15</v>
      </c>
      <c r="D75" s="9">
        <v>312983.37799999991</v>
      </c>
      <c r="E75" s="9">
        <f>367010</f>
        <v>367010</v>
      </c>
      <c r="F75" s="10">
        <f>589.67*1000-F74</f>
        <v>287217</v>
      </c>
    </row>
    <row r="76" spans="1:6" ht="16.5" customHeight="1" x14ac:dyDescent="0.25">
      <c r="A76" s="64"/>
      <c r="B76" s="26"/>
      <c r="C76" s="64"/>
      <c r="D76" s="22"/>
      <c r="E76" s="22"/>
      <c r="F76" s="23"/>
    </row>
    <row r="77" spans="1:6" ht="27.75" customHeight="1" x14ac:dyDescent="0.25">
      <c r="A77" s="103" t="s">
        <v>54</v>
      </c>
      <c r="B77" s="102" t="s">
        <v>60</v>
      </c>
      <c r="C77" s="103"/>
      <c r="D77" s="32">
        <f>SUM(D79,D80,D85)</f>
        <v>654240</v>
      </c>
      <c r="E77" s="32">
        <f>SUM(E79,E80,E85)</f>
        <v>654194</v>
      </c>
      <c r="F77" s="33">
        <f>SUM(F79,F80,F85)</f>
        <v>654240</v>
      </c>
    </row>
    <row r="78" spans="1:6" ht="12.75" customHeight="1" x14ac:dyDescent="0.25">
      <c r="A78" s="64"/>
      <c r="B78" s="26" t="s">
        <v>12</v>
      </c>
      <c r="C78" s="64"/>
      <c r="D78" s="32">
        <v>0</v>
      </c>
      <c r="E78" s="32">
        <v>0</v>
      </c>
      <c r="F78" s="23">
        <v>0</v>
      </c>
    </row>
    <row r="79" spans="1:6" ht="29.25" customHeight="1" x14ac:dyDescent="0.25">
      <c r="A79" s="64" t="s">
        <v>55</v>
      </c>
      <c r="B79" s="26" t="s">
        <v>62</v>
      </c>
      <c r="C79" s="67" t="s">
        <v>63</v>
      </c>
      <c r="D79" s="32">
        <f>605988</f>
        <v>605988</v>
      </c>
      <c r="E79" s="32">
        <f>605988</f>
        <v>605988</v>
      </c>
      <c r="F79" s="52">
        <f>E79</f>
        <v>605988</v>
      </c>
    </row>
    <row r="80" spans="1:6" ht="45.75" customHeight="1" x14ac:dyDescent="0.25">
      <c r="A80" s="116" t="s">
        <v>56</v>
      </c>
      <c r="B80" s="26" t="s">
        <v>65</v>
      </c>
      <c r="C80" s="67" t="s">
        <v>63</v>
      </c>
      <c r="D80" s="32">
        <f>E80</f>
        <v>47595</v>
      </c>
      <c r="E80" s="32">
        <f>SUM(E81:E84)</f>
        <v>47595</v>
      </c>
      <c r="F80" s="23">
        <f>SUM(F81:F84)</f>
        <v>47595</v>
      </c>
    </row>
    <row r="81" spans="1:6" ht="12.75" customHeight="1" x14ac:dyDescent="0.25">
      <c r="A81" s="116"/>
      <c r="B81" s="122" t="s">
        <v>117</v>
      </c>
      <c r="C81" s="113" t="s">
        <v>63</v>
      </c>
      <c r="D81" s="118">
        <f>E81</f>
        <v>46658</v>
      </c>
      <c r="E81" s="118">
        <f>46658</f>
        <v>46658</v>
      </c>
      <c r="F81" s="120">
        <f>E81</f>
        <v>46658</v>
      </c>
    </row>
    <row r="82" spans="1:6" ht="12.75" customHeight="1" x14ac:dyDescent="0.25">
      <c r="A82" s="116"/>
      <c r="B82" s="123"/>
      <c r="C82" s="115"/>
      <c r="D82" s="119"/>
      <c r="E82" s="119"/>
      <c r="F82" s="121"/>
    </row>
    <row r="83" spans="1:6" ht="15.75" customHeight="1" x14ac:dyDescent="0.25">
      <c r="A83" s="116"/>
      <c r="B83" s="26" t="s">
        <v>48</v>
      </c>
      <c r="C83" s="67" t="s">
        <v>63</v>
      </c>
      <c r="D83" s="32">
        <v>822</v>
      </c>
      <c r="E83" s="32">
        <f>822</f>
        <v>822</v>
      </c>
      <c r="F83" s="23">
        <f>E83</f>
        <v>822</v>
      </c>
    </row>
    <row r="84" spans="1:6" ht="15.75" customHeight="1" x14ac:dyDescent="0.25">
      <c r="A84" s="116"/>
      <c r="B84" s="26" t="s">
        <v>49</v>
      </c>
      <c r="C84" s="67" t="s">
        <v>63</v>
      </c>
      <c r="D84" s="32">
        <v>115</v>
      </c>
      <c r="E84" s="32">
        <f>115</f>
        <v>115</v>
      </c>
      <c r="F84" s="23">
        <f>E84</f>
        <v>115</v>
      </c>
    </row>
    <row r="85" spans="1:6" ht="35.25" customHeight="1" x14ac:dyDescent="0.25">
      <c r="A85" s="51" t="s">
        <v>57</v>
      </c>
      <c r="B85" s="26" t="s">
        <v>58</v>
      </c>
      <c r="C85" s="67"/>
      <c r="D85" s="32">
        <v>657</v>
      </c>
      <c r="E85" s="32">
        <v>611</v>
      </c>
      <c r="F85" s="23">
        <f>657</f>
        <v>657</v>
      </c>
    </row>
    <row r="86" spans="1:6" ht="17.25" customHeight="1" x14ac:dyDescent="0.25">
      <c r="A86" s="64" t="s">
        <v>59</v>
      </c>
      <c r="B86" s="26" t="s">
        <v>67</v>
      </c>
      <c r="C86" s="67" t="s">
        <v>63</v>
      </c>
      <c r="D86" s="32">
        <f>D77</f>
        <v>654240</v>
      </c>
      <c r="E86" s="32">
        <f>E77</f>
        <v>654194</v>
      </c>
      <c r="F86" s="33">
        <f>F77</f>
        <v>654240</v>
      </c>
    </row>
    <row r="87" spans="1:6" ht="12.75" customHeight="1" x14ac:dyDescent="0.25">
      <c r="A87" s="64"/>
      <c r="B87" s="26"/>
      <c r="C87" s="64"/>
      <c r="D87" s="4"/>
      <c r="E87" s="4"/>
      <c r="F87" s="5"/>
    </row>
    <row r="88" spans="1:6" ht="31.5" customHeight="1" x14ac:dyDescent="0.25">
      <c r="A88" s="64" t="s">
        <v>66</v>
      </c>
      <c r="B88" s="26" t="s">
        <v>69</v>
      </c>
      <c r="C88" s="67" t="s">
        <v>70</v>
      </c>
      <c r="D88" s="20">
        <f>[2]Лист1!$C$64</f>
        <v>2245863.8519400004</v>
      </c>
      <c r="E88" s="20">
        <v>2282582.5809999998</v>
      </c>
      <c r="F88" s="33">
        <v>2866858.6079891101</v>
      </c>
    </row>
    <row r="89" spans="1:6" ht="12.75" customHeight="1" x14ac:dyDescent="0.25">
      <c r="A89" s="64"/>
      <c r="B89" s="26"/>
      <c r="C89" s="64"/>
      <c r="D89" s="4"/>
      <c r="E89" s="4"/>
      <c r="F89" s="5"/>
    </row>
    <row r="90" spans="1:6" ht="33" customHeight="1" x14ac:dyDescent="0.25">
      <c r="A90" s="64" t="s">
        <v>68</v>
      </c>
      <c r="B90" s="26" t="s">
        <v>72</v>
      </c>
      <c r="C90" s="64"/>
      <c r="D90" s="4"/>
      <c r="E90" s="4"/>
      <c r="F90" s="5"/>
    </row>
    <row r="91" spans="1:6" ht="24.75" customHeight="1" x14ac:dyDescent="0.25">
      <c r="A91" s="64" t="s">
        <v>120</v>
      </c>
      <c r="B91" s="26" t="s">
        <v>73</v>
      </c>
      <c r="C91" s="67" t="s">
        <v>74</v>
      </c>
      <c r="D91" s="24">
        <v>409</v>
      </c>
      <c r="E91" s="24" t="s">
        <v>119</v>
      </c>
      <c r="F91" s="7" t="s">
        <v>119</v>
      </c>
    </row>
    <row r="92" spans="1:6" ht="33" customHeight="1" x14ac:dyDescent="0.25">
      <c r="A92" s="64" t="s">
        <v>121</v>
      </c>
      <c r="B92" s="26" t="s">
        <v>75</v>
      </c>
      <c r="C92" s="64" t="s">
        <v>76</v>
      </c>
      <c r="D92" s="104">
        <v>47.8</v>
      </c>
      <c r="E92" s="54" t="s">
        <v>119</v>
      </c>
      <c r="F92" s="53" t="s">
        <v>119</v>
      </c>
    </row>
    <row r="93" spans="1:6" ht="46.5" customHeight="1" x14ac:dyDescent="0.25">
      <c r="A93" s="67" t="s">
        <v>122</v>
      </c>
      <c r="B93" s="30" t="s">
        <v>77</v>
      </c>
      <c r="C93" s="64"/>
      <c r="D93" s="98" t="s">
        <v>132</v>
      </c>
      <c r="E93" s="98" t="s">
        <v>119</v>
      </c>
      <c r="F93" s="53" t="s">
        <v>119</v>
      </c>
    </row>
    <row r="94" spans="1:6" ht="16.5" customHeight="1" x14ac:dyDescent="0.25">
      <c r="A94" s="64"/>
      <c r="B94" s="26"/>
      <c r="C94" s="64"/>
      <c r="D94" s="99"/>
      <c r="E94" s="99"/>
      <c r="F94" s="5"/>
    </row>
    <row r="95" spans="1:6" s="13" customFormat="1" ht="18" customHeight="1" x14ac:dyDescent="0.25">
      <c r="A95" s="67" t="s">
        <v>71</v>
      </c>
      <c r="B95" s="30" t="s">
        <v>79</v>
      </c>
      <c r="C95" s="67" t="s">
        <v>70</v>
      </c>
      <c r="D95" s="20">
        <v>443212.2</v>
      </c>
      <c r="E95" s="20">
        <v>241268.736</v>
      </c>
      <c r="F95" s="10">
        <f>504495.894</f>
        <v>504495.89399999997</v>
      </c>
    </row>
    <row r="96" spans="1:6" s="13" customFormat="1" ht="18" customHeight="1" x14ac:dyDescent="0.25">
      <c r="A96" s="67"/>
      <c r="B96" s="30"/>
      <c r="C96" s="67"/>
      <c r="D96" s="20"/>
      <c r="E96" s="20"/>
      <c r="F96" s="10"/>
    </row>
    <row r="97" spans="1:6" s="13" customFormat="1" ht="18" customHeight="1" x14ac:dyDescent="0.25">
      <c r="A97" s="67" t="s">
        <v>78</v>
      </c>
      <c r="B97" s="30" t="s">
        <v>100</v>
      </c>
      <c r="C97" s="67" t="s">
        <v>70</v>
      </c>
      <c r="D97" s="20">
        <v>322549.10600000003</v>
      </c>
      <c r="E97" s="20">
        <v>454291.28499999997</v>
      </c>
      <c r="F97" s="105">
        <v>473467.18800000002</v>
      </c>
    </row>
    <row r="98" spans="1:6" s="13" customFormat="1" ht="18" customHeight="1" x14ac:dyDescent="0.25">
      <c r="A98" s="67"/>
      <c r="B98" s="30"/>
      <c r="C98" s="67"/>
      <c r="D98" s="20"/>
      <c r="E98" s="20"/>
      <c r="F98" s="105"/>
    </row>
    <row r="99" spans="1:6" s="13" customFormat="1" ht="18" customHeight="1" x14ac:dyDescent="0.25">
      <c r="A99" s="67" t="s">
        <v>80</v>
      </c>
      <c r="B99" s="30" t="s">
        <v>118</v>
      </c>
      <c r="C99" s="67" t="s">
        <v>70</v>
      </c>
      <c r="D99" s="20">
        <v>295241.2</v>
      </c>
      <c r="E99" s="20">
        <v>221734.16399999999</v>
      </c>
      <c r="F99" s="105">
        <v>238774.34400000001</v>
      </c>
    </row>
    <row r="100" spans="1:6" s="13" customFormat="1" ht="18" customHeight="1" x14ac:dyDescent="0.25">
      <c r="A100" s="67"/>
      <c r="B100" s="30"/>
      <c r="C100" s="67"/>
      <c r="D100" s="20"/>
      <c r="E100" s="20"/>
      <c r="F100" s="10"/>
    </row>
    <row r="101" spans="1:6" s="13" customFormat="1" ht="18" customHeight="1" x14ac:dyDescent="0.25">
      <c r="A101" s="67" t="s">
        <v>81</v>
      </c>
      <c r="B101" s="30" t="s">
        <v>83</v>
      </c>
      <c r="C101" s="67" t="s">
        <v>70</v>
      </c>
      <c r="D101" s="20">
        <v>95868</v>
      </c>
      <c r="E101" s="20" t="s">
        <v>119</v>
      </c>
      <c r="F101" s="10" t="s">
        <v>119</v>
      </c>
    </row>
    <row r="102" spans="1:6" s="13" customFormat="1" ht="18" customHeight="1" x14ac:dyDescent="0.25">
      <c r="A102" s="67"/>
      <c r="B102" s="30"/>
      <c r="C102" s="67"/>
      <c r="D102" s="20"/>
      <c r="E102" s="20"/>
      <c r="F102" s="10"/>
    </row>
    <row r="103" spans="1:6" s="13" customFormat="1" ht="39.75" customHeight="1" x14ac:dyDescent="0.25">
      <c r="A103" s="67" t="s">
        <v>82</v>
      </c>
      <c r="B103" s="30" t="s">
        <v>85</v>
      </c>
      <c r="C103" s="67" t="s">
        <v>86</v>
      </c>
      <c r="D103" s="9" t="s">
        <v>119</v>
      </c>
      <c r="E103" s="9" t="s">
        <v>119</v>
      </c>
      <c r="F103" s="10" t="s">
        <v>119</v>
      </c>
    </row>
    <row r="104" spans="1:6" s="13" customFormat="1" ht="18" customHeight="1" x14ac:dyDescent="0.25">
      <c r="A104" s="65"/>
      <c r="B104" s="93"/>
      <c r="C104" s="91"/>
      <c r="D104" s="11"/>
      <c r="E104" s="11"/>
      <c r="F104" s="12"/>
    </row>
    <row r="105" spans="1:6" s="13" customFormat="1" ht="117.75" customHeight="1" x14ac:dyDescent="0.25">
      <c r="A105" s="66" t="s">
        <v>84</v>
      </c>
      <c r="B105" s="94" t="s">
        <v>87</v>
      </c>
      <c r="C105" s="92"/>
      <c r="D105" s="73" t="s">
        <v>140</v>
      </c>
      <c r="E105" s="73" t="s">
        <v>141</v>
      </c>
      <c r="F105" s="95" t="s">
        <v>141</v>
      </c>
    </row>
    <row r="106" spans="1:6" x14ac:dyDescent="0.25">
      <c r="A106" s="3"/>
    </row>
    <row r="107" spans="1:6" x14ac:dyDescent="0.25">
      <c r="A107" s="3"/>
      <c r="B107" s="117" t="s">
        <v>88</v>
      </c>
      <c r="C107" s="117"/>
      <c r="D107" s="117"/>
      <c r="E107" s="117"/>
      <c r="F107" s="117"/>
    </row>
    <row r="109" spans="1:6" ht="35.25" customHeight="1" x14ac:dyDescent="0.25">
      <c r="B109" s="110" t="s">
        <v>142</v>
      </c>
      <c r="C109" s="110"/>
      <c r="D109" s="110"/>
      <c r="E109" s="110"/>
      <c r="F109" s="110"/>
    </row>
    <row r="110" spans="1:6" ht="45" customHeight="1" x14ac:dyDescent="0.25">
      <c r="B110" s="111" t="s">
        <v>123</v>
      </c>
      <c r="C110" s="112"/>
      <c r="D110" s="112"/>
      <c r="E110" s="112"/>
      <c r="F110" s="112"/>
    </row>
  </sheetData>
  <mergeCells count="23">
    <mergeCell ref="A14:A16"/>
    <mergeCell ref="A17:A20"/>
    <mergeCell ref="A22:A24"/>
    <mergeCell ref="A25:A27"/>
    <mergeCell ref="A29:A31"/>
    <mergeCell ref="A32:A34"/>
    <mergeCell ref="C81:C82"/>
    <mergeCell ref="A36:A38"/>
    <mergeCell ref="A39:A41"/>
    <mergeCell ref="A43:A45"/>
    <mergeCell ref="A46:A48"/>
    <mergeCell ref="A50:A52"/>
    <mergeCell ref="A53:A55"/>
    <mergeCell ref="B109:F109"/>
    <mergeCell ref="B110:F110"/>
    <mergeCell ref="A63:A72"/>
    <mergeCell ref="A73:A75"/>
    <mergeCell ref="A80:A84"/>
    <mergeCell ref="B107:F107"/>
    <mergeCell ref="D81:D82"/>
    <mergeCell ref="E81:E82"/>
    <mergeCell ref="F81:F82"/>
    <mergeCell ref="B81:B8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9"/>
  <sheetViews>
    <sheetView workbookViewId="0">
      <selection activeCell="K12" sqref="K12:K13"/>
    </sheetView>
  </sheetViews>
  <sheetFormatPr defaultRowHeight="15" x14ac:dyDescent="0.25"/>
  <cols>
    <col min="2" max="2" width="66.7109375" customWidth="1"/>
    <col min="3" max="3" width="18.5703125" customWidth="1"/>
    <col min="4" max="5" width="12.28515625" customWidth="1"/>
    <col min="6" max="9" width="11.42578125" customWidth="1"/>
    <col min="16" max="16" width="9.140625" customWidth="1"/>
  </cols>
  <sheetData>
    <row r="1" spans="1:11" x14ac:dyDescent="0.25">
      <c r="I1" s="1" t="s">
        <v>90</v>
      </c>
    </row>
    <row r="2" spans="1:11" x14ac:dyDescent="0.25">
      <c r="I2" s="1" t="s">
        <v>1</v>
      </c>
    </row>
    <row r="3" spans="1:11" x14ac:dyDescent="0.25">
      <c r="I3" s="1" t="s">
        <v>2</v>
      </c>
    </row>
    <row r="4" spans="1:11" x14ac:dyDescent="0.25">
      <c r="I4" s="1" t="s">
        <v>3</v>
      </c>
    </row>
    <row r="5" spans="1:11" x14ac:dyDescent="0.25">
      <c r="H5" s="2"/>
    </row>
    <row r="6" spans="1:11" x14ac:dyDescent="0.25">
      <c r="C6" s="2" t="s">
        <v>91</v>
      </c>
    </row>
    <row r="7" spans="1:11" x14ac:dyDescent="0.25">
      <c r="A7" s="2"/>
    </row>
    <row r="8" spans="1:11" x14ac:dyDescent="0.25">
      <c r="A8" s="3"/>
    </row>
    <row r="9" spans="1:11" ht="60" customHeight="1" x14ac:dyDescent="0.25">
      <c r="A9" s="129" t="s">
        <v>4</v>
      </c>
      <c r="B9" s="131" t="s">
        <v>5</v>
      </c>
      <c r="C9" s="129" t="s">
        <v>92</v>
      </c>
      <c r="D9" s="127" t="s">
        <v>7</v>
      </c>
      <c r="E9" s="128"/>
      <c r="F9" s="126" t="s">
        <v>8</v>
      </c>
      <c r="G9" s="126"/>
      <c r="H9" s="127" t="s">
        <v>9</v>
      </c>
      <c r="I9" s="128"/>
    </row>
    <row r="10" spans="1:11" ht="30" x14ac:dyDescent="0.25">
      <c r="A10" s="130"/>
      <c r="B10" s="132"/>
      <c r="C10" s="130"/>
      <c r="D10" s="34" t="s">
        <v>93</v>
      </c>
      <c r="E10" s="31" t="s">
        <v>94</v>
      </c>
      <c r="F10" s="36" t="s">
        <v>93</v>
      </c>
      <c r="G10" s="35" t="s">
        <v>94</v>
      </c>
      <c r="H10" s="34" t="s">
        <v>93</v>
      </c>
      <c r="I10" s="31" t="s">
        <v>94</v>
      </c>
    </row>
    <row r="11" spans="1:11" ht="29.25" customHeight="1" x14ac:dyDescent="0.25">
      <c r="A11" s="79" t="s">
        <v>59</v>
      </c>
      <c r="B11" s="78" t="s">
        <v>96</v>
      </c>
      <c r="C11" s="49"/>
      <c r="D11" s="80"/>
      <c r="E11" s="81"/>
      <c r="F11" s="80"/>
      <c r="G11" s="50"/>
      <c r="H11" s="80"/>
      <c r="I11" s="81"/>
    </row>
    <row r="12" spans="1:11" ht="30" customHeight="1" x14ac:dyDescent="0.25">
      <c r="A12" s="6" t="s">
        <v>61</v>
      </c>
      <c r="B12" s="50" t="s">
        <v>97</v>
      </c>
      <c r="C12" s="6" t="s">
        <v>95</v>
      </c>
      <c r="D12" s="82">
        <v>692.28</v>
      </c>
      <c r="E12" s="83">
        <v>712.83</v>
      </c>
      <c r="F12" s="87">
        <v>629.13390000000004</v>
      </c>
      <c r="G12" s="90">
        <f>F12</f>
        <v>629.13390000000004</v>
      </c>
      <c r="H12" s="87">
        <v>629.13</v>
      </c>
      <c r="I12" s="83">
        <f>0.823505071981194*1000</f>
        <v>823.50507198119408</v>
      </c>
      <c r="K12" s="8"/>
    </row>
    <row r="13" spans="1:11" ht="50.25" customHeight="1" x14ac:dyDescent="0.25">
      <c r="A13" s="72" t="s">
        <v>64</v>
      </c>
      <c r="B13" s="75" t="s">
        <v>98</v>
      </c>
      <c r="C13" s="72" t="s">
        <v>95</v>
      </c>
      <c r="D13" s="100">
        <v>253.26</v>
      </c>
      <c r="E13" s="101">
        <v>407.71</v>
      </c>
      <c r="F13" s="82">
        <v>391.97</v>
      </c>
      <c r="G13" s="89">
        <f>F13</f>
        <v>391.97</v>
      </c>
      <c r="H13" s="82">
        <v>391.96999999999997</v>
      </c>
      <c r="I13" s="83">
        <f>83.7152949566456*10</f>
        <v>837.15294956645596</v>
      </c>
      <c r="K13" s="8"/>
    </row>
    <row r="14" spans="1:11" ht="50.25" customHeight="1" x14ac:dyDescent="0.25">
      <c r="A14" s="124" t="s">
        <v>99</v>
      </c>
      <c r="B14" s="88" t="s">
        <v>135</v>
      </c>
      <c r="C14" s="124" t="s">
        <v>95</v>
      </c>
      <c r="D14" s="82"/>
      <c r="E14" s="86"/>
      <c r="F14" s="82"/>
      <c r="G14" s="89"/>
      <c r="H14" s="82"/>
      <c r="I14" s="86"/>
    </row>
    <row r="15" spans="1:11" ht="18.75" customHeight="1" x14ac:dyDescent="0.25">
      <c r="A15" s="114"/>
      <c r="B15" s="74" t="s">
        <v>136</v>
      </c>
      <c r="C15" s="114"/>
      <c r="D15" s="84">
        <v>526.9</v>
      </c>
      <c r="E15" s="85">
        <v>526.9</v>
      </c>
      <c r="F15" s="87">
        <v>526.9</v>
      </c>
      <c r="G15" s="90">
        <v>699.92</v>
      </c>
      <c r="H15" s="87">
        <f>0.684500576544109*1000</f>
        <v>684.50057654410898</v>
      </c>
      <c r="I15" s="83">
        <f>0.776766899632049*1000</f>
        <v>776.76689963204899</v>
      </c>
    </row>
    <row r="16" spans="1:11" ht="18.75" customHeight="1" x14ac:dyDescent="0.25">
      <c r="A16" s="114"/>
      <c r="B16" s="76" t="s">
        <v>48</v>
      </c>
      <c r="C16" s="114"/>
      <c r="D16" s="84">
        <v>231.59</v>
      </c>
      <c r="E16" s="85">
        <v>231.59</v>
      </c>
      <c r="F16" s="87">
        <v>231.59</v>
      </c>
      <c r="G16" s="90">
        <v>321.27</v>
      </c>
      <c r="H16" s="87">
        <f>0.32127*1000</f>
        <v>321.27</v>
      </c>
      <c r="I16" s="83">
        <f>0.423262195890605*1000</f>
        <v>423.26219589060497</v>
      </c>
    </row>
    <row r="17" spans="1:9" ht="18.75" customHeight="1" x14ac:dyDescent="0.25">
      <c r="A17" s="125"/>
      <c r="B17" s="77" t="s">
        <v>49</v>
      </c>
      <c r="C17" s="125"/>
      <c r="D17" s="84">
        <v>175.63</v>
      </c>
      <c r="E17" s="85">
        <v>175.63</v>
      </c>
      <c r="F17" s="87">
        <v>175.63</v>
      </c>
      <c r="G17" s="90">
        <v>278.26</v>
      </c>
      <c r="H17" s="87">
        <f>0.228166858848036*1000</f>
        <v>228.16685884803601</v>
      </c>
      <c r="I17" s="83">
        <f>0.25892229987735*1000</f>
        <v>258.92229987734999</v>
      </c>
    </row>
    <row r="18" spans="1:9" x14ac:dyDescent="0.25">
      <c r="A18" s="2"/>
      <c r="I18" s="21"/>
    </row>
    <row r="19" spans="1:9" x14ac:dyDescent="0.25">
      <c r="A19" s="3"/>
      <c r="B19" s="117" t="s">
        <v>88</v>
      </c>
      <c r="C19" s="117"/>
      <c r="D19" s="117"/>
      <c r="E19" s="117"/>
      <c r="F19" s="117"/>
      <c r="G19" s="117"/>
      <c r="H19" s="117"/>
      <c r="I19" s="117"/>
    </row>
  </sheetData>
  <mergeCells count="9">
    <mergeCell ref="A14:A17"/>
    <mergeCell ref="C14:C17"/>
    <mergeCell ref="B19:I19"/>
    <mergeCell ref="F9:G9"/>
    <mergeCell ref="H9:I9"/>
    <mergeCell ref="A9:A10"/>
    <mergeCell ref="B9:B10"/>
    <mergeCell ref="C9:C10"/>
    <mergeCell ref="D9:E9"/>
  </mergeCells>
  <pageMargins left="0.70866141732283472" right="0.70866141732283472" top="0.74803149606299213" bottom="0.74803149606299213" header="0.31496062992125984" footer="0.31496062992125984"/>
  <pageSetup paperSize="9" scale="6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Прил 1</vt:lpstr>
      <vt:lpstr>Прил3</vt:lpstr>
      <vt:lpstr>Прил5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2022-04-28T13:21:33Z</dcterms:modified>
</cp:coreProperties>
</file>