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50" windowWidth="9465" windowHeight="9510" tabRatio="694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'Лист1'!$A$1:$L$107</definedName>
  </definedNames>
  <calcPr fullCalcOnLoad="1"/>
</workbook>
</file>

<file path=xl/sharedStrings.xml><?xml version="1.0" encoding="utf-8"?>
<sst xmlns="http://schemas.openxmlformats.org/spreadsheetml/2006/main" count="87" uniqueCount="32">
  <si>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</si>
  <si>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</si>
  <si>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</si>
  <si>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</si>
  <si>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</si>
  <si>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</si>
  <si>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</si>
  <si>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</si>
  <si>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</si>
  <si>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</si>
  <si>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</si>
  <si>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</si>
  <si>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</si>
  <si>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</si>
  <si>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</si>
  <si>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</si>
  <si>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</si>
  <si>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</si>
  <si>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</si>
  <si>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</si>
  <si>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</si>
  <si>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</si>
  <si>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</si>
  <si>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</si>
  <si>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</si>
  <si>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</si>
  <si>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</si>
  <si>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t>Итого за день</t>
  </si>
  <si>
    <t xml:space="preserve"> </t>
  </si>
  <si>
    <t>Итого за месяц:</t>
  </si>
  <si>
    <t>кВт*ч</t>
  </si>
  <si>
    <t>Почасовые значения суммарного профиля потребления электрической энергии ГП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</si>
</sst>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4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20" fontId="0" fillId="0" borderId="9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4" fillId="0" borderId="12" xfId="0" applyNumberFormat="1" applyFon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0" xfId="18" applyNumberFormat="1" applyBorder="1" applyAlignment="1">
      <alignment/>
    </xf>
    <xf numFmtId="172" fontId="0" fillId="0" borderId="18" xfId="18" applyNumberFormat="1" applyBorder="1" applyAlignment="1">
      <alignment/>
    </xf>
    <xf numFmtId="172" fontId="0" fillId="0" borderId="19" xfId="18" applyNumberFormat="1" applyBorder="1" applyAlignment="1">
      <alignment/>
    </xf>
    <xf numFmtId="172" fontId="0" fillId="0" borderId="20" xfId="18" applyNumberFormat="1" applyBorder="1" applyAlignment="1">
      <alignment/>
    </xf>
    <xf numFmtId="172" fontId="0" fillId="0" borderId="21" xfId="18" applyNumberFormat="1" applyBorder="1" applyAlignment="1">
      <alignment/>
    </xf>
    <xf numFmtId="172" fontId="0" fillId="0" borderId="22" xfId="18" applyNumberFormat="1" applyBorder="1" applyAlignment="1">
      <alignment/>
    </xf>
    <xf numFmtId="172" fontId="0" fillId="0" borderId="23" xfId="18" applyNumberFormat="1" applyBorder="1" applyAlignment="1">
      <alignment/>
    </xf>
    <xf numFmtId="172" fontId="0" fillId="0" borderId="24" xfId="18" applyNumberFormat="1" applyBorder="1" applyAlignment="1">
      <alignment/>
    </xf>
    <xf numFmtId="172" fontId="0" fillId="0" borderId="25" xfId="18" applyNumberFormat="1" applyBorder="1" applyAlignment="1">
      <alignment/>
    </xf>
    <xf numFmtId="3" fontId="0" fillId="0" borderId="26" xfId="0" applyNumberFormat="1" applyBorder="1" applyAlignment="1">
      <alignment/>
    </xf>
    <xf numFmtId="172" fontId="0" fillId="0" borderId="27" xfId="18" applyNumberFormat="1" applyBorder="1" applyAlignment="1">
      <alignment/>
    </xf>
    <xf numFmtId="172" fontId="0" fillId="0" borderId="28" xfId="18" applyNumberFormat="1" applyBorder="1" applyAlignment="1">
      <alignment/>
    </xf>
    <xf numFmtId="172" fontId="0" fillId="0" borderId="29" xfId="18" applyNumberFormat="1" applyBorder="1" applyAlignment="1">
      <alignment/>
    </xf>
    <xf numFmtId="172" fontId="0" fillId="0" borderId="30" xfId="18" applyNumberFormat="1" applyBorder="1" applyAlignment="1">
      <alignment/>
    </xf>
    <xf numFmtId="172" fontId="0" fillId="0" borderId="31" xfId="18" applyNumberFormat="1" applyBorder="1" applyAlignment="1">
      <alignment/>
    </xf>
    <xf numFmtId="172" fontId="0" fillId="0" borderId="32" xfId="18" applyNumberFormat="1" applyBorder="1" applyAlignment="1">
      <alignment/>
    </xf>
    <xf numFmtId="172" fontId="0" fillId="0" borderId="33" xfId="18" applyNumberFormat="1" applyBorder="1" applyAlignment="1">
      <alignment/>
    </xf>
    <xf numFmtId="172" fontId="0" fillId="0" borderId="26" xfId="18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33" xfId="0" applyFont="1" applyBorder="1" applyAlignment="1">
      <alignment vertical="justify" wrapText="1"/>
    </xf>
    <xf numFmtId="0" fontId="0" fillId="0" borderId="33" xfId="0" applyBorder="1" applyAlignment="1">
      <alignment vertical="justify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01"/>
      <sheetName val="Лист2"/>
      <sheetName val="Потребл."/>
      <sheetName val="истин. потери"/>
      <sheetName val="для расчета 20 числа "/>
      <sheetName val="для мощности с данными ФСК"/>
      <sheetName val="для отклонений"/>
      <sheetName val="Наш_по_АСКУЭ"/>
    </sheetNames>
    <sheetDataSet>
      <sheetData sheetId="1">
        <row r="5">
          <cell r="A5" t="str">
            <v>Расчетный период: октябрь 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75" zoomScaleNormal="75" workbookViewId="0" topLeftCell="A1">
      <selection activeCell="N8" sqref="N8"/>
    </sheetView>
  </sheetViews>
  <sheetFormatPr defaultColWidth="9.00390625" defaultRowHeight="12.75"/>
  <cols>
    <col min="1" max="1" width="17.00390625" style="0" customWidth="1"/>
    <col min="2" max="16384" width="12.125" style="0" customWidth="1"/>
  </cols>
  <sheetData>
    <row r="1" spans="1:11" s="21" customFormat="1" ht="18.7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8:11" ht="12.75">
      <c r="H2" s="4"/>
      <c r="I2" s="4"/>
      <c r="J2" s="4"/>
      <c r="K2" s="4"/>
    </row>
    <row r="3" spans="1:11" s="21" customFormat="1" ht="18.75">
      <c r="A3" s="26"/>
      <c r="B3" s="65" t="s">
        <v>13</v>
      </c>
      <c r="C3" s="65"/>
      <c r="D3" s="65"/>
      <c r="E3" s="65"/>
      <c r="F3" s="65"/>
      <c r="I3" s="27"/>
      <c r="J3" s="27"/>
      <c r="K3" s="27"/>
    </row>
    <row r="4" spans="1:11" s="23" customFormat="1" ht="15.75">
      <c r="A4" s="22"/>
      <c r="B4" s="66"/>
      <c r="C4" s="66"/>
      <c r="D4" s="66"/>
      <c r="E4" s="66"/>
      <c r="H4" s="24"/>
      <c r="I4" s="24"/>
      <c r="J4" s="24"/>
      <c r="K4" s="24"/>
    </row>
    <row r="5" spans="1:11" s="23" customFormat="1" ht="15">
      <c r="A5" s="66" t="str">
        <f>'[1]Лист01'!A5</f>
        <v>Расчетный период: октябрь 2009 г.</v>
      </c>
      <c r="B5" s="66"/>
      <c r="C5" s="66"/>
      <c r="D5" s="66"/>
      <c r="E5" s="66"/>
      <c r="H5" s="25"/>
      <c r="I5" s="24"/>
      <c r="J5" s="24"/>
      <c r="K5" s="24"/>
    </row>
    <row r="6" spans="1:11" ht="37.5" customHeight="1" thickBot="1">
      <c r="A6" s="5"/>
      <c r="C6" s="67"/>
      <c r="D6" s="68"/>
      <c r="E6" s="68"/>
      <c r="F6" s="68"/>
      <c r="G6" s="68"/>
      <c r="H6" s="68"/>
      <c r="I6" s="68"/>
      <c r="J6" s="68"/>
      <c r="K6" s="68"/>
    </row>
    <row r="7" spans="1:11" ht="12.75">
      <c r="A7" s="69" t="s">
        <v>14</v>
      </c>
      <c r="B7" s="52" t="s">
        <v>15</v>
      </c>
      <c r="C7" s="53"/>
      <c r="D7" s="53"/>
      <c r="E7" s="53"/>
      <c r="F7" s="53"/>
      <c r="G7" s="53"/>
      <c r="H7" s="53"/>
      <c r="I7" s="53"/>
      <c r="J7" s="53"/>
      <c r="K7" s="54"/>
    </row>
    <row r="8" spans="1:11" ht="13.5" thickBot="1">
      <c r="A8" s="70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7">
        <v>10</v>
      </c>
    </row>
    <row r="9" spans="1:11" ht="12.75">
      <c r="A9" s="14" t="s">
        <v>16</v>
      </c>
      <c r="B9" s="43">
        <f>378397+(4856044/745)</f>
        <v>384915.1798657718</v>
      </c>
      <c r="C9" s="44">
        <f>387283+(4856044/745)</f>
        <v>393801.1798657718</v>
      </c>
      <c r="D9" s="44">
        <f>403524+(4856044/745)</f>
        <v>410042.1798657718</v>
      </c>
      <c r="E9" s="44">
        <f>411117+(4856044/745)</f>
        <v>417635.1798657718</v>
      </c>
      <c r="F9" s="44">
        <f>374386+(4856044/745)</f>
        <v>380904.1798657718</v>
      </c>
      <c r="G9" s="44">
        <f>393699+(4856044/745)</f>
        <v>400217.1798657718</v>
      </c>
      <c r="H9" s="44">
        <f>406542+(4856044/745)</f>
        <v>413060.1798657718</v>
      </c>
      <c r="I9" s="44">
        <f>404447+(4856044/745)</f>
        <v>410965.1798657718</v>
      </c>
      <c r="J9" s="44">
        <f>386234+(4856044/745)</f>
        <v>392752.1798657718</v>
      </c>
      <c r="K9" s="45">
        <f>405455+(4856044/745)</f>
        <v>411973.1798657718</v>
      </c>
    </row>
    <row r="10" spans="1:11" ht="12.75">
      <c r="A10" s="15" t="s">
        <v>17</v>
      </c>
      <c r="B10" s="46">
        <f>359533+(4856044/745)</f>
        <v>366051.1798657718</v>
      </c>
      <c r="C10" s="33">
        <f>367108+(4856044/745)</f>
        <v>373626.1798657718</v>
      </c>
      <c r="D10" s="33">
        <f>381917+(4856044/745)</f>
        <v>388435.1798657718</v>
      </c>
      <c r="E10" s="33">
        <f>384690+(4856044/745)</f>
        <v>391208.1798657718</v>
      </c>
      <c r="F10" s="33">
        <f>354962+(4856044/745)</f>
        <v>361480.1798657718</v>
      </c>
      <c r="G10" s="33">
        <f>370033+(4856044/745)</f>
        <v>376551.1798657718</v>
      </c>
      <c r="H10" s="33">
        <f>385125+(4856044/745)</f>
        <v>391643.1798657718</v>
      </c>
      <c r="I10" s="33">
        <f>386356+(4856044/745)</f>
        <v>392874.1798657718</v>
      </c>
      <c r="J10" s="33">
        <f>363326+(4856044/745)</f>
        <v>369844.1798657718</v>
      </c>
      <c r="K10" s="47">
        <f>383913+(4856044/745)</f>
        <v>390431.1798657718</v>
      </c>
    </row>
    <row r="11" spans="1:11" ht="12.75">
      <c r="A11" s="15" t="s">
        <v>18</v>
      </c>
      <c r="B11" s="46">
        <f>353746+(4856044/745)</f>
        <v>360264.1798657718</v>
      </c>
      <c r="C11" s="33">
        <f>357848+(4856044/745)</f>
        <v>364366.1798657718</v>
      </c>
      <c r="D11" s="33">
        <f>370853+(4856044/745)</f>
        <v>377371.1798657718</v>
      </c>
      <c r="E11" s="33">
        <f>371785+(4856044/745)</f>
        <v>378303.1798657718</v>
      </c>
      <c r="F11" s="33">
        <f>343023+(4856044/745)</f>
        <v>349541.1798657718</v>
      </c>
      <c r="G11" s="33">
        <f>364602+(4856044/745)</f>
        <v>371120.1798657718</v>
      </c>
      <c r="H11" s="33">
        <f>377590+(4856044/745)</f>
        <v>384108.1798657718</v>
      </c>
      <c r="I11" s="33">
        <f>376843+(4856044/745)</f>
        <v>383361.1798657718</v>
      </c>
      <c r="J11" s="33">
        <f>358862+(4856044/745)</f>
        <v>365380.1798657718</v>
      </c>
      <c r="K11" s="47">
        <f>372696+(4856044/745)</f>
        <v>379214.1798657718</v>
      </c>
    </row>
    <row r="12" spans="1:11" ht="12.75">
      <c r="A12" s="15" t="s">
        <v>19</v>
      </c>
      <c r="B12" s="46">
        <f>351144+(4856044/745)</f>
        <v>357662.1798657718</v>
      </c>
      <c r="C12" s="33">
        <f>353408+(4856044/745)</f>
        <v>359926.1798657718</v>
      </c>
      <c r="D12" s="33">
        <f>366206+(4856044/745)</f>
        <v>372724.1798657718</v>
      </c>
      <c r="E12" s="33">
        <f>366265+(4856044/745)</f>
        <v>372783.1798657718</v>
      </c>
      <c r="F12" s="33">
        <f>339971+(4856044/745)</f>
        <v>346489.1798657718</v>
      </c>
      <c r="G12" s="33">
        <f>363026+(4856044/745)</f>
        <v>369544.1798657718</v>
      </c>
      <c r="H12" s="33">
        <f>376195+(4856044/745)</f>
        <v>382713.1798657718</v>
      </c>
      <c r="I12" s="33">
        <f>375462+(4856044/745)</f>
        <v>381980.1798657718</v>
      </c>
      <c r="J12" s="33">
        <f>355744+(4856044/745)</f>
        <v>362262.1798657718</v>
      </c>
      <c r="K12" s="47">
        <f>367873+(4856044/745)</f>
        <v>374391.1798657718</v>
      </c>
    </row>
    <row r="13" spans="1:11" ht="12.75">
      <c r="A13" s="15" t="s">
        <v>20</v>
      </c>
      <c r="B13" s="46">
        <f>351618+(4856044/745)</f>
        <v>358136.1798657718</v>
      </c>
      <c r="C13" s="33">
        <f>355610+(4856044/745)</f>
        <v>362128.1798657718</v>
      </c>
      <c r="D13" s="33">
        <f>364366+(4856044/745)</f>
        <v>370884.1798657718</v>
      </c>
      <c r="E13" s="33">
        <f>364092+(4856044/745)</f>
        <v>370610.1798657718</v>
      </c>
      <c r="F13" s="33">
        <f>341736+(4856044/745)</f>
        <v>348254.1798657718</v>
      </c>
      <c r="G13" s="33">
        <f>364202+(4856044/745)</f>
        <v>370720.1798657718</v>
      </c>
      <c r="H13" s="33">
        <f>377492+(4856044/745)</f>
        <v>384010.1798657718</v>
      </c>
      <c r="I13" s="33">
        <f>376295+(4856044/745)</f>
        <v>382813.1798657718</v>
      </c>
      <c r="J13" s="33">
        <f>356273+(4856044/745)</f>
        <v>362791.1798657718</v>
      </c>
      <c r="K13" s="47">
        <f>366213+(4856044/745)</f>
        <v>372731.1798657718</v>
      </c>
    </row>
    <row r="14" spans="1:11" ht="12.75">
      <c r="A14" s="15" t="s">
        <v>21</v>
      </c>
      <c r="B14" s="46">
        <f>367855+(4856044/745)</f>
        <v>374373.1798657718</v>
      </c>
      <c r="C14" s="33">
        <f>371352+(4856044/745)</f>
        <v>377870.1798657718</v>
      </c>
      <c r="D14" s="33">
        <f>373324+(4856044/745)</f>
        <v>379842.1798657718</v>
      </c>
      <c r="E14" s="33">
        <f>368409+(4856044/745)</f>
        <v>374927.1798657718</v>
      </c>
      <c r="F14" s="33">
        <f>360869+(4856044/745)</f>
        <v>367387.1798657718</v>
      </c>
      <c r="G14" s="33">
        <f>381009+(4856044/745)</f>
        <v>387527.1798657718</v>
      </c>
      <c r="H14" s="33">
        <f>393716+(4856044/745)</f>
        <v>400234.1798657718</v>
      </c>
      <c r="I14" s="33">
        <f>393304+(4856044/745)</f>
        <v>399822.1798657718</v>
      </c>
      <c r="J14" s="33">
        <f>370990+(4856044/745)</f>
        <v>377508.1798657718</v>
      </c>
      <c r="K14" s="47">
        <f>372320+(4856044/745)</f>
        <v>378838.1798657718</v>
      </c>
    </row>
    <row r="15" spans="1:11" ht="12.75">
      <c r="A15" s="15" t="s">
        <v>22</v>
      </c>
      <c r="B15" s="46">
        <f>415118+(4856044/745)</f>
        <v>421636.1798657718</v>
      </c>
      <c r="C15" s="33">
        <f>416009+(4856044/745)</f>
        <v>422527.1798657718</v>
      </c>
      <c r="D15" s="33">
        <f>390923+(4856044/745)</f>
        <v>397441.1798657718</v>
      </c>
      <c r="E15" s="33">
        <f>382088+(4856044/745)</f>
        <v>388606.1798657718</v>
      </c>
      <c r="F15" s="33">
        <f>408791+(4856044/745)</f>
        <v>415309.1798657718</v>
      </c>
      <c r="G15" s="33">
        <f>427426+(4856044/745)</f>
        <v>433944.1798657718</v>
      </c>
      <c r="H15" s="33">
        <f>437541+(4856044/745)</f>
        <v>444059.1798657718</v>
      </c>
      <c r="I15" s="33">
        <f>436195+(4856044/745)</f>
        <v>442713.1798657718</v>
      </c>
      <c r="J15" s="33">
        <f>409851+(4856044/745)</f>
        <v>416369.1798657718</v>
      </c>
      <c r="K15" s="47">
        <f>393873+(4856044/745)</f>
        <v>400391.1798657718</v>
      </c>
    </row>
    <row r="16" spans="1:11" ht="12.75">
      <c r="A16" s="15" t="s">
        <v>23</v>
      </c>
      <c r="B16" s="46">
        <f>472262+(4856044/745)</f>
        <v>478780.1798657718</v>
      </c>
      <c r="C16" s="33">
        <f>474767+(4856044/745)</f>
        <v>481285.1798657718</v>
      </c>
      <c r="D16" s="33">
        <f>409336+(4856044/745)</f>
        <v>415854.1798657718</v>
      </c>
      <c r="E16" s="33">
        <f>388524+(4856044/745)</f>
        <v>395042.1798657718</v>
      </c>
      <c r="F16" s="33">
        <f>472922+(4856044/745)</f>
        <v>479440.1798657718</v>
      </c>
      <c r="G16" s="33">
        <f>488422+(4856044/745)</f>
        <v>494940.1798657718</v>
      </c>
      <c r="H16" s="33">
        <f>500087+(4856044/745)</f>
        <v>506605.1798657718</v>
      </c>
      <c r="I16" s="33">
        <f>494203+(4856044/745)</f>
        <v>500721.1798657718</v>
      </c>
      <c r="J16" s="33">
        <f>468957+(4856044/745)</f>
        <v>475475.1798657718</v>
      </c>
      <c r="K16" s="47">
        <f>413975+(4856044/745)</f>
        <v>420493.1798657718</v>
      </c>
    </row>
    <row r="17" spans="1:11" ht="12.75">
      <c r="A17" s="15" t="s">
        <v>24</v>
      </c>
      <c r="B17" s="46">
        <f>535726+(4856044/745)</f>
        <v>542244.1798657718</v>
      </c>
      <c r="C17" s="33">
        <f>539533+(4856044/745)</f>
        <v>546051.1798657718</v>
      </c>
      <c r="D17" s="33">
        <f>436959+(4856044/745)</f>
        <v>443477.1798657718</v>
      </c>
      <c r="E17" s="33">
        <f>409832+(4856044/745)</f>
        <v>416350.1798657718</v>
      </c>
      <c r="F17" s="33">
        <f>532528+(4856044/745)</f>
        <v>539046.1798657718</v>
      </c>
      <c r="G17" s="33">
        <f>549806+(4856044/745)</f>
        <v>556324.1798657718</v>
      </c>
      <c r="H17" s="33">
        <f>559700+(4856044/745)</f>
        <v>566218.1798657718</v>
      </c>
      <c r="I17" s="33">
        <f>553114+(4856044/745)</f>
        <v>559632.1798657718</v>
      </c>
      <c r="J17" s="33">
        <f>532554+(4856044/745)</f>
        <v>539072.1798657718</v>
      </c>
      <c r="K17" s="47">
        <f>441681+(4856044/745)</f>
        <v>448199.1798657718</v>
      </c>
    </row>
    <row r="18" spans="1:11" ht="12.75">
      <c r="A18" s="15" t="s">
        <v>25</v>
      </c>
      <c r="B18" s="46">
        <f>564785+(4856044/745)</f>
        <v>571303.1798657718</v>
      </c>
      <c r="C18" s="33">
        <f>566570+(4856044/745)</f>
        <v>573088.1798657718</v>
      </c>
      <c r="D18" s="33">
        <f>462917+(4856044/745)</f>
        <v>469435.1798657718</v>
      </c>
      <c r="E18" s="33">
        <f>431995+(4856044/745)</f>
        <v>438513.1798657718</v>
      </c>
      <c r="F18" s="33">
        <f>560862+(4856044/745)</f>
        <v>567380.1798657718</v>
      </c>
      <c r="G18" s="33">
        <f>575359+(4856044/745)</f>
        <v>581877.1798657718</v>
      </c>
      <c r="H18" s="33">
        <f>585404+(4856044/745)</f>
        <v>591922.1798657718</v>
      </c>
      <c r="I18" s="33">
        <f>583711+(4856044/745)</f>
        <v>590229.1798657718</v>
      </c>
      <c r="J18" s="33">
        <f>560155+(4856044/745)</f>
        <v>566673.1798657718</v>
      </c>
      <c r="K18" s="47">
        <f>463996+(4856044/745)</f>
        <v>470514.1798657718</v>
      </c>
    </row>
    <row r="19" spans="1:11" ht="12.75">
      <c r="A19" s="15" t="s">
        <v>0</v>
      </c>
      <c r="B19" s="46">
        <f>564584+(4856044/745)</f>
        <v>571102.1798657718</v>
      </c>
      <c r="C19" s="33">
        <f>563207+(4856044/745)</f>
        <v>569725.1798657718</v>
      </c>
      <c r="D19" s="33">
        <f>473964+(4856044/745)</f>
        <v>480482.1798657718</v>
      </c>
      <c r="E19" s="33">
        <f>438308+(4856044/745)</f>
        <v>444826.1798657718</v>
      </c>
      <c r="F19" s="33">
        <f>563547+(4856044/745)</f>
        <v>570065.1798657718</v>
      </c>
      <c r="G19" s="33">
        <f>577449+(4856044/745)</f>
        <v>583967.1798657718</v>
      </c>
      <c r="H19" s="33">
        <f>583933+(4856044/745)</f>
        <v>590451.1798657718</v>
      </c>
      <c r="I19" s="33">
        <f>583806+(4856044/745)</f>
        <v>590324.1798657718</v>
      </c>
      <c r="J19" s="33">
        <f>563540+(4856044/745)</f>
        <v>570058.1798657718</v>
      </c>
      <c r="K19" s="47">
        <f>471632+(4856044/745)</f>
        <v>478150.1798657718</v>
      </c>
    </row>
    <row r="20" spans="1:11" ht="12.75">
      <c r="A20" s="15" t="s">
        <v>1</v>
      </c>
      <c r="B20" s="46">
        <f>544289+(4856044/745)</f>
        <v>550807.1798657718</v>
      </c>
      <c r="C20" s="33">
        <f>555293+(4856044/745)</f>
        <v>561811.1798657718</v>
      </c>
      <c r="D20" s="33">
        <f>468195+(4856044/745)</f>
        <v>474713.1798657718</v>
      </c>
      <c r="E20" s="33">
        <f>434391+(4856044/745)</f>
        <v>440909.1798657718</v>
      </c>
      <c r="F20" s="33">
        <f>548814+(4856044/745)</f>
        <v>555332.1798657718</v>
      </c>
      <c r="G20" s="33">
        <f>562100+(4856044/745)</f>
        <v>568618.1798657718</v>
      </c>
      <c r="H20" s="33">
        <f>566490+(4856044/745)</f>
        <v>573008.1798657718</v>
      </c>
      <c r="I20" s="33">
        <f>567275+(4856044/745)</f>
        <v>573793.1798657718</v>
      </c>
      <c r="J20" s="33">
        <f>549535+(4856044/745)</f>
        <v>556053.1798657718</v>
      </c>
      <c r="K20" s="47">
        <f>467466+(4856044/745)</f>
        <v>473984.1798657718</v>
      </c>
    </row>
    <row r="21" spans="1:11" ht="12.75">
      <c r="A21" s="15" t="s">
        <v>2</v>
      </c>
      <c r="B21" s="46">
        <f>518517+(4856044/745)</f>
        <v>525035.1798657718</v>
      </c>
      <c r="C21" s="33">
        <f>532767+(4856044/745)</f>
        <v>539285.1798657718</v>
      </c>
      <c r="D21" s="33">
        <f>457930+(4856044/745)</f>
        <v>464448.1798657718</v>
      </c>
      <c r="E21" s="33">
        <f>426432+(4856044/745)</f>
        <v>432950.1798657718</v>
      </c>
      <c r="F21" s="33">
        <f>520374+(4856044/745)</f>
        <v>526892.1798657718</v>
      </c>
      <c r="G21" s="33">
        <f>540001+(4856044/745)</f>
        <v>546519.1798657718</v>
      </c>
      <c r="H21" s="33">
        <f>535847+(4856044/745)</f>
        <v>542365.1798657718</v>
      </c>
      <c r="I21" s="33">
        <f>538548+(4856044/745)</f>
        <v>545066.1798657718</v>
      </c>
      <c r="J21" s="33">
        <f>530682+(4856044/745)</f>
        <v>537200.1798657718</v>
      </c>
      <c r="K21" s="47">
        <f>461732+(4856044/745)</f>
        <v>468250.1798657718</v>
      </c>
    </row>
    <row r="22" spans="1:11" ht="12.75">
      <c r="A22" s="15" t="s">
        <v>3</v>
      </c>
      <c r="B22" s="46">
        <f>527682+(4856044/745)</f>
        <v>534200.1798657718</v>
      </c>
      <c r="C22" s="33">
        <f>537081+(4856044/745)</f>
        <v>543599.1798657718</v>
      </c>
      <c r="D22" s="33">
        <f>451503+(4856044/745)</f>
        <v>458021.1798657718</v>
      </c>
      <c r="E22" s="33">
        <f>419368+(4856044/745)</f>
        <v>425886.1798657718</v>
      </c>
      <c r="F22" s="33">
        <f>535271+(4856044/745)</f>
        <v>541789.1798657718</v>
      </c>
      <c r="G22" s="33">
        <f>548166+(4856044/745)</f>
        <v>554684.1798657718</v>
      </c>
      <c r="H22" s="33">
        <f>547859+(4856044/745)</f>
        <v>554377.1798657718</v>
      </c>
      <c r="I22" s="33">
        <f>546808+(4856044/745)</f>
        <v>553326.1798657718</v>
      </c>
      <c r="J22" s="33">
        <f>543574+(4856044/745)</f>
        <v>550092.1798657718</v>
      </c>
      <c r="K22" s="47">
        <f>457748+(4856044/745)</f>
        <v>464266.1798657718</v>
      </c>
    </row>
    <row r="23" spans="1:11" ht="12.75">
      <c r="A23" s="15" t="s">
        <v>4</v>
      </c>
      <c r="B23" s="46">
        <f>528350+(4856044/745)</f>
        <v>534868.1798657718</v>
      </c>
      <c r="C23" s="33">
        <f>529869+(4856044/745)</f>
        <v>536387.1798657718</v>
      </c>
      <c r="D23" s="33">
        <f>444235+(4856044/745)</f>
        <v>450753.1798657718</v>
      </c>
      <c r="E23" s="33">
        <f>419137+(4856044/745)</f>
        <v>425655.1798657718</v>
      </c>
      <c r="F23" s="33">
        <f>532948+(4856044/745)</f>
        <v>539466.1798657718</v>
      </c>
      <c r="G23" s="33">
        <f>546492+(4856044/745)</f>
        <v>553010.1798657718</v>
      </c>
      <c r="H23" s="33">
        <f>543896+(4856044/745)</f>
        <v>550414.1798657718</v>
      </c>
      <c r="I23" s="33">
        <f>546175+(4856044/745)</f>
        <v>552693.1798657718</v>
      </c>
      <c r="J23" s="33">
        <f>541059+(4856044/745)</f>
        <v>547577.1798657718</v>
      </c>
      <c r="K23" s="47">
        <f>456421+(4856044/745)</f>
        <v>462939.1798657718</v>
      </c>
    </row>
    <row r="24" spans="1:11" ht="12.75">
      <c r="A24" s="15" t="s">
        <v>5</v>
      </c>
      <c r="B24" s="46">
        <f>516569+(4856044/745)</f>
        <v>523087.1798657718</v>
      </c>
      <c r="C24" s="33">
        <f>489423+(4856044/745)</f>
        <v>495941.1798657718</v>
      </c>
      <c r="D24" s="33">
        <f>439071+(4856044/745)</f>
        <v>445589.1798657718</v>
      </c>
      <c r="E24" s="33">
        <f>420919+(4856044/745)</f>
        <v>427437.1798657718</v>
      </c>
      <c r="F24" s="33">
        <f>522032+(4856044/745)</f>
        <v>528550.1798657718</v>
      </c>
      <c r="G24" s="33">
        <f>534912+(4856044/745)</f>
        <v>541430.1798657718</v>
      </c>
      <c r="H24" s="33">
        <f>522741+(4856044/745)</f>
        <v>529259.1798657718</v>
      </c>
      <c r="I24" s="33">
        <f>542479+(4856044/745)</f>
        <v>548997.1798657718</v>
      </c>
      <c r="J24" s="33">
        <f>527885+(4856044/745)</f>
        <v>534403.1798657718</v>
      </c>
      <c r="K24" s="47">
        <f>455424+(4856044/745)</f>
        <v>461942.1798657718</v>
      </c>
    </row>
    <row r="25" spans="1:11" ht="12.75">
      <c r="A25" s="15" t="s">
        <v>6</v>
      </c>
      <c r="B25" s="46">
        <f>500916+(4856044/745)</f>
        <v>507434.1798657718</v>
      </c>
      <c r="C25" s="33">
        <f>471808+(4856044/745)</f>
        <v>478326.1798657718</v>
      </c>
      <c r="D25" s="33">
        <f>437800+(4856044/745)</f>
        <v>444318.1798657718</v>
      </c>
      <c r="E25" s="33">
        <f>418576+(4856044/745)</f>
        <v>425094.1798657718</v>
      </c>
      <c r="F25" s="33">
        <f>506223+(4856044/745)</f>
        <v>512741.1798657718</v>
      </c>
      <c r="G25" s="33">
        <f>510544+(4856044/745)</f>
        <v>517062.1798657718</v>
      </c>
      <c r="H25" s="33">
        <f>502842+(4856044/745)</f>
        <v>509360.1798657718</v>
      </c>
      <c r="I25" s="33">
        <f>531441+(4856044/745)</f>
        <v>537959.1798657718</v>
      </c>
      <c r="J25" s="33">
        <f>510212+(4856044/745)</f>
        <v>516730.1798657718</v>
      </c>
      <c r="K25" s="47">
        <f>455560+(4856044/745)</f>
        <v>462078.1798657718</v>
      </c>
    </row>
    <row r="26" spans="1:11" ht="12.75">
      <c r="A26" s="15" t="s">
        <v>7</v>
      </c>
      <c r="B26" s="46">
        <f>486071+(4856044/745)</f>
        <v>492589.1798657718</v>
      </c>
      <c r="C26" s="33">
        <f>464087+(4856044/745)</f>
        <v>470605.1798657718</v>
      </c>
      <c r="D26" s="33">
        <f>440476+(4856044/745)</f>
        <v>446994.1798657718</v>
      </c>
      <c r="E26" s="33">
        <f>418422+(4856044/745)</f>
        <v>424940.1798657718</v>
      </c>
      <c r="F26" s="33">
        <f>490749+(4856044/745)</f>
        <v>497267.1798657718</v>
      </c>
      <c r="G26" s="33">
        <f>492203+(4856044/745)</f>
        <v>498721.1798657718</v>
      </c>
      <c r="H26" s="33">
        <f>487744+(4856044/745)</f>
        <v>494262.1798657718</v>
      </c>
      <c r="I26" s="33">
        <f>520604+(4856044/745)</f>
        <v>527122.1798657718</v>
      </c>
      <c r="J26" s="33">
        <f>495324+(4856044/745)</f>
        <v>501842.1798657718</v>
      </c>
      <c r="K26" s="47">
        <f>462031+(4856044/745)</f>
        <v>468549.1798657718</v>
      </c>
    </row>
    <row r="27" spans="1:11" ht="12.75">
      <c r="A27" s="15" t="s">
        <v>8</v>
      </c>
      <c r="B27" s="46">
        <f>497966+(4856044/745)</f>
        <v>504484.1798657718</v>
      </c>
      <c r="C27" s="33">
        <f>469345+(4856044/745)</f>
        <v>475863.1798657718</v>
      </c>
      <c r="D27" s="33">
        <f>449959+(4856044/745)</f>
        <v>456477.1798657718</v>
      </c>
      <c r="E27" s="33">
        <f>426979+(4856044/745)</f>
        <v>433497.1798657718</v>
      </c>
      <c r="F27" s="33">
        <f>502509+(4856044/745)</f>
        <v>509027.1798657718</v>
      </c>
      <c r="G27" s="33">
        <f>501599+(4856044/745)</f>
        <v>508117.1798657718</v>
      </c>
      <c r="H27" s="33">
        <f>501198+(4856044/745)</f>
        <v>507716.1798657718</v>
      </c>
      <c r="I27" s="33">
        <f>529754+(4856044/745)</f>
        <v>536272.1798657718</v>
      </c>
      <c r="J27" s="33">
        <f>511349+(4856044/745)</f>
        <v>517867.1798657718</v>
      </c>
      <c r="K27" s="47">
        <f>480605+(4856044/745)</f>
        <v>487123.1798657718</v>
      </c>
    </row>
    <row r="28" spans="1:11" ht="12.75">
      <c r="A28" s="15" t="s">
        <v>9</v>
      </c>
      <c r="B28" s="46">
        <f>533885+(4856044/745)</f>
        <v>540403.1798657718</v>
      </c>
      <c r="C28" s="33">
        <f>526708+(4856044/745)</f>
        <v>533226.1798657718</v>
      </c>
      <c r="D28" s="33">
        <f>502983+(4856044/745)</f>
        <v>509501.1798657718</v>
      </c>
      <c r="E28" s="33">
        <f>483523+(4856044/745)</f>
        <v>490041.1798657718</v>
      </c>
      <c r="F28" s="33">
        <f>541556+(4856044/745)</f>
        <v>548074.1798657718</v>
      </c>
      <c r="G28" s="33">
        <f>547814+(4856044/745)</f>
        <v>554332.1798657718</v>
      </c>
      <c r="H28" s="33">
        <f>553377+(4856044/745)</f>
        <v>559895.1798657718</v>
      </c>
      <c r="I28" s="33">
        <f>554416+(4856044/745)</f>
        <v>560934.1798657718</v>
      </c>
      <c r="J28" s="33">
        <f>548795+(4856044/745)</f>
        <v>555313.1798657718</v>
      </c>
      <c r="K28" s="47">
        <f>521435+(4856044/745)</f>
        <v>527953.1798657718</v>
      </c>
    </row>
    <row r="29" spans="1:11" ht="12.75">
      <c r="A29" s="15" t="s">
        <v>10</v>
      </c>
      <c r="B29" s="46">
        <f>553787+(4856044/745)</f>
        <v>560305.1798657718</v>
      </c>
      <c r="C29" s="33">
        <f>553845+(4856044/745)</f>
        <v>560363.1798657718</v>
      </c>
      <c r="D29" s="33">
        <f>531352+(4856044/745)</f>
        <v>537870.1798657718</v>
      </c>
      <c r="E29" s="33">
        <f>509531+(4856044/745)</f>
        <v>516049.1798657718</v>
      </c>
      <c r="F29" s="33">
        <f>553802+(4856044/745)</f>
        <v>560320.1798657718</v>
      </c>
      <c r="G29" s="33">
        <f>562673+(4856044/745)</f>
        <v>569191.1798657718</v>
      </c>
      <c r="H29" s="33">
        <f>566571+(4856044/745)</f>
        <v>573089.1798657718</v>
      </c>
      <c r="I29" s="33">
        <f>551688+(4856044/745)</f>
        <v>558206.1798657718</v>
      </c>
      <c r="J29" s="33">
        <f>556080+(4856044/745)</f>
        <v>562598.1798657718</v>
      </c>
      <c r="K29" s="47">
        <f>526111+(4856044/745)</f>
        <v>532629.1798657718</v>
      </c>
    </row>
    <row r="30" spans="1:11" ht="12.75">
      <c r="A30" s="15" t="s">
        <v>11</v>
      </c>
      <c r="B30" s="46">
        <f>530004+(4856044/745)</f>
        <v>536522.1798657718</v>
      </c>
      <c r="C30" s="33">
        <f>541439+(4856044/745)</f>
        <v>547957.1798657718</v>
      </c>
      <c r="D30" s="33">
        <f>515189+(4856044/745)</f>
        <v>521707.1798657718</v>
      </c>
      <c r="E30" s="33">
        <f>491335+(4856044/745)</f>
        <v>497853.1798657718</v>
      </c>
      <c r="F30" s="33">
        <f>534445+(4856044/745)</f>
        <v>540963.1798657718</v>
      </c>
      <c r="G30" s="33">
        <f>541165+(4856044/745)</f>
        <v>547683.1798657718</v>
      </c>
      <c r="H30" s="33">
        <f>541046+(4856044/745)</f>
        <v>547564.1798657718</v>
      </c>
      <c r="I30" s="33">
        <f>529686+(4856044/745)</f>
        <v>536204.1798657718</v>
      </c>
      <c r="J30" s="33">
        <f>536632+(4856044/745)</f>
        <v>543150.1798657718</v>
      </c>
      <c r="K30" s="47">
        <f>511244+(4856044/745)</f>
        <v>517762.1798657718</v>
      </c>
    </row>
    <row r="31" spans="1:11" ht="12.75">
      <c r="A31" s="15" t="s">
        <v>12</v>
      </c>
      <c r="B31" s="46">
        <f>486072+(4856044/745)</f>
        <v>492590.1798657718</v>
      </c>
      <c r="C31" s="33">
        <f>500546+(4856044/745)</f>
        <v>507064.1798657718</v>
      </c>
      <c r="D31" s="33">
        <f>485010+(4856044/745)</f>
        <v>491528.1798657718</v>
      </c>
      <c r="E31" s="33">
        <f>452742+(4856044/745)</f>
        <v>459260.1798657718</v>
      </c>
      <c r="F31" s="33">
        <f>486341+(4856044/745)</f>
        <v>492859.1798657718</v>
      </c>
      <c r="G31" s="33">
        <f>498650+(4856044/745)</f>
        <v>505168.1798657718</v>
      </c>
      <c r="H31" s="33">
        <f>495520+(4856044/745)</f>
        <v>502038.1798657718</v>
      </c>
      <c r="I31" s="33">
        <f>483687+(4856044/745)</f>
        <v>490205.1798657718</v>
      </c>
      <c r="J31" s="33">
        <f>499566+(4856044/745)</f>
        <v>506084.1798657718</v>
      </c>
      <c r="K31" s="47">
        <f>478827+(4856044/745)</f>
        <v>485345.1798657718</v>
      </c>
    </row>
    <row r="32" spans="1:11" ht="13.5" thickBot="1">
      <c r="A32" s="16" t="s">
        <v>26</v>
      </c>
      <c r="B32" s="48">
        <f>435785+(4856044/745)</f>
        <v>442303.1798657718</v>
      </c>
      <c r="C32" s="49">
        <f>451741+(4856044/745)</f>
        <v>458259.1798657718</v>
      </c>
      <c r="D32" s="49">
        <f>446101+(4856044/745)</f>
        <v>452619.1798657718</v>
      </c>
      <c r="E32" s="49">
        <f>409514+(4856044/745)</f>
        <v>416032.1798657718</v>
      </c>
      <c r="F32" s="49">
        <f>431240+(4856044/745)</f>
        <v>437758.1798657718</v>
      </c>
      <c r="G32" s="49">
        <f>447880+(4856044/745)</f>
        <v>454398.1798657718</v>
      </c>
      <c r="H32" s="49">
        <f>444605+(4856044/745)</f>
        <v>451123.1798657718</v>
      </c>
      <c r="I32" s="49">
        <f>427598+(4856044/745)</f>
        <v>434116.1798657718</v>
      </c>
      <c r="J32" s="49">
        <f>447223+(4856044/745)</f>
        <v>453741.1798657718</v>
      </c>
      <c r="K32" s="50">
        <f>443811+(4856044/745)</f>
        <v>450329.1798657718</v>
      </c>
    </row>
    <row r="33" spans="1:11" ht="13.5" thickBot="1">
      <c r="A33" s="8" t="s">
        <v>27</v>
      </c>
      <c r="B33" s="9">
        <f aca="true" t="shared" si="0" ref="B33:K33">SUM(B9:B32)</f>
        <v>11531097.316778524</v>
      </c>
      <c r="C33" s="9">
        <f t="shared" si="0"/>
        <v>11533083.316778524</v>
      </c>
      <c r="D33" s="9">
        <f t="shared" si="0"/>
        <v>10660529.316778524</v>
      </c>
      <c r="E33" s="9">
        <f t="shared" si="0"/>
        <v>10204410.316778524</v>
      </c>
      <c r="F33" s="9">
        <f t="shared" si="0"/>
        <v>11516337.316778524</v>
      </c>
      <c r="G33" s="9">
        <f t="shared" si="0"/>
        <v>11845668.316778524</v>
      </c>
      <c r="H33" s="9">
        <f t="shared" si="0"/>
        <v>11949497.316778524</v>
      </c>
      <c r="I33" s="10">
        <f t="shared" si="0"/>
        <v>11990331.316778524</v>
      </c>
      <c r="J33" s="11">
        <f t="shared" si="0"/>
        <v>11680838.316778524</v>
      </c>
      <c r="K33" s="12">
        <f t="shared" si="0"/>
        <v>10788478.316778524</v>
      </c>
    </row>
    <row r="37" ht="13.5" thickBot="1"/>
    <row r="38" spans="1:11" ht="12.75">
      <c r="A38" s="69" t="s">
        <v>14</v>
      </c>
      <c r="B38" s="52" t="s">
        <v>15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1:11" ht="13.5" thickBot="1">
      <c r="A39" s="70"/>
      <c r="B39" s="6">
        <v>11</v>
      </c>
      <c r="C39" s="6">
        <v>12</v>
      </c>
      <c r="D39" s="6">
        <v>13</v>
      </c>
      <c r="E39" s="6">
        <v>14</v>
      </c>
      <c r="F39" s="6">
        <v>15</v>
      </c>
      <c r="G39" s="6">
        <v>16</v>
      </c>
      <c r="H39" s="6">
        <v>17</v>
      </c>
      <c r="I39" s="6">
        <v>18</v>
      </c>
      <c r="J39" s="6">
        <v>19</v>
      </c>
      <c r="K39" s="7">
        <v>20</v>
      </c>
    </row>
    <row r="40" spans="1:11" ht="12.75">
      <c r="A40" s="14" t="s">
        <v>16</v>
      </c>
      <c r="B40" s="43">
        <v>413280.1798657718</v>
      </c>
      <c r="C40" s="44">
        <v>392545.1798657718</v>
      </c>
      <c r="D40" s="44">
        <v>414984.1798657718</v>
      </c>
      <c r="E40" s="44">
        <v>405730.1798657718</v>
      </c>
      <c r="F40" s="44">
        <v>393542.1798657718</v>
      </c>
      <c r="G40" s="44">
        <v>414821.1798657718</v>
      </c>
      <c r="H40" s="44">
        <v>434449.1798657718</v>
      </c>
      <c r="I40" s="44">
        <v>423230.1798657718</v>
      </c>
      <c r="J40" s="44">
        <v>408606.1798657718</v>
      </c>
      <c r="K40" s="45">
        <v>428855.1798657718</v>
      </c>
    </row>
    <row r="41" spans="1:11" ht="12.75">
      <c r="A41" s="15" t="s">
        <v>17</v>
      </c>
      <c r="B41" s="46">
        <v>389267.1798657718</v>
      </c>
      <c r="C41" s="33">
        <v>371983.1798657718</v>
      </c>
      <c r="D41" s="33">
        <v>393470.1798657718</v>
      </c>
      <c r="E41" s="33">
        <v>383293.1798657718</v>
      </c>
      <c r="F41" s="33">
        <v>373566.1798657718</v>
      </c>
      <c r="G41" s="33">
        <v>395655.1798657718</v>
      </c>
      <c r="H41" s="33">
        <v>408954.1798657718</v>
      </c>
      <c r="I41" s="33">
        <v>394279.1798657718</v>
      </c>
      <c r="J41" s="33">
        <v>389152.1798657718</v>
      </c>
      <c r="K41" s="47">
        <v>407538.1798657718</v>
      </c>
    </row>
    <row r="42" spans="1:11" ht="12.75">
      <c r="A42" s="15" t="s">
        <v>18</v>
      </c>
      <c r="B42" s="46">
        <v>376621.1798657718</v>
      </c>
      <c r="C42" s="33">
        <v>364158.1798657718</v>
      </c>
      <c r="D42" s="33">
        <v>384465.1798657718</v>
      </c>
      <c r="E42" s="33">
        <v>375172.1798657718</v>
      </c>
      <c r="F42" s="33">
        <v>365113.1798657718</v>
      </c>
      <c r="G42" s="33">
        <v>388029.1798657718</v>
      </c>
      <c r="H42" s="33">
        <v>396705.1798657718</v>
      </c>
      <c r="I42" s="33">
        <v>383956.1798657718</v>
      </c>
      <c r="J42" s="33">
        <v>377353.1798657718</v>
      </c>
      <c r="K42" s="47">
        <v>402356.1798657718</v>
      </c>
    </row>
    <row r="43" spans="1:11" ht="12.75">
      <c r="A43" s="15" t="s">
        <v>19</v>
      </c>
      <c r="B43" s="46">
        <v>373327.1798657718</v>
      </c>
      <c r="C43" s="33">
        <v>362899.1798657718</v>
      </c>
      <c r="D43" s="33">
        <v>382804.1798657718</v>
      </c>
      <c r="E43" s="33">
        <v>371381.1798657718</v>
      </c>
      <c r="F43" s="33">
        <v>363878.1798657718</v>
      </c>
      <c r="G43" s="33">
        <v>387090.1798657718</v>
      </c>
      <c r="H43" s="33">
        <v>392909.1798657718</v>
      </c>
      <c r="I43" s="33">
        <v>382742.1798657718</v>
      </c>
      <c r="J43" s="33">
        <v>378821.1798657718</v>
      </c>
      <c r="K43" s="47">
        <v>402331.1798657718</v>
      </c>
    </row>
    <row r="44" spans="1:11" ht="12.75">
      <c r="A44" s="15" t="s">
        <v>20</v>
      </c>
      <c r="B44" s="46">
        <v>373767.1798657718</v>
      </c>
      <c r="C44" s="33">
        <v>364764.1798657718</v>
      </c>
      <c r="D44" s="33">
        <v>382500.1798657718</v>
      </c>
      <c r="E44" s="33">
        <v>372674.1798657718</v>
      </c>
      <c r="F44" s="33">
        <v>366012.1798657718</v>
      </c>
      <c r="G44" s="33">
        <v>389022.1798657718</v>
      </c>
      <c r="H44" s="33">
        <v>389131.1798657718</v>
      </c>
      <c r="I44" s="33">
        <v>381737.1798657718</v>
      </c>
      <c r="J44" s="33">
        <v>380632.1798657718</v>
      </c>
      <c r="K44" s="47">
        <v>404689.1798657718</v>
      </c>
    </row>
    <row r="45" spans="1:11" ht="12.75">
      <c r="A45" s="15" t="s">
        <v>21</v>
      </c>
      <c r="B45" s="46">
        <v>378006.1798657718</v>
      </c>
      <c r="C45" s="33">
        <v>381252.1798657718</v>
      </c>
      <c r="D45" s="33">
        <v>398063.1798657718</v>
      </c>
      <c r="E45" s="33">
        <v>387321.1798657718</v>
      </c>
      <c r="F45" s="33">
        <v>382765.1798657718</v>
      </c>
      <c r="G45" s="33">
        <v>404349.1798657718</v>
      </c>
      <c r="H45" s="33">
        <v>393851.1798657718</v>
      </c>
      <c r="I45" s="33">
        <v>387818.1798657718</v>
      </c>
      <c r="J45" s="33">
        <v>395184.1798657718</v>
      </c>
      <c r="K45" s="47">
        <v>423638.1798657718</v>
      </c>
    </row>
    <row r="46" spans="1:11" ht="12.75">
      <c r="A46" s="15" t="s">
        <v>22</v>
      </c>
      <c r="B46" s="46">
        <v>392850.1798657718</v>
      </c>
      <c r="C46" s="33">
        <v>429394.1798657718</v>
      </c>
      <c r="D46" s="33">
        <v>443073.1798657718</v>
      </c>
      <c r="E46" s="33">
        <v>433325.1798657718</v>
      </c>
      <c r="F46" s="33">
        <v>428569.1798657718</v>
      </c>
      <c r="G46" s="33">
        <v>449400.1798657718</v>
      </c>
      <c r="H46" s="33">
        <v>410833.1798657718</v>
      </c>
      <c r="I46" s="33">
        <v>400715.1798657718</v>
      </c>
      <c r="J46" s="33">
        <v>443400.1798657718</v>
      </c>
      <c r="K46" s="47">
        <v>469115.1798657718</v>
      </c>
    </row>
    <row r="47" spans="1:11" ht="12.75">
      <c r="A47" s="15" t="s">
        <v>23</v>
      </c>
      <c r="B47" s="46">
        <v>408806.1798657718</v>
      </c>
      <c r="C47" s="33">
        <v>501136.1798657718</v>
      </c>
      <c r="D47" s="33">
        <v>513376.1798657718</v>
      </c>
      <c r="E47" s="33">
        <v>504002.1798657718</v>
      </c>
      <c r="F47" s="33">
        <v>498502.1798657718</v>
      </c>
      <c r="G47" s="33">
        <v>515617.1798657718</v>
      </c>
      <c r="H47" s="33">
        <v>435891.1798657718</v>
      </c>
      <c r="I47" s="33">
        <v>417213.1798657718</v>
      </c>
      <c r="J47" s="33">
        <v>516748.1798657718</v>
      </c>
      <c r="K47" s="47">
        <v>540467.1798657718</v>
      </c>
    </row>
    <row r="48" spans="1:11" ht="12.75">
      <c r="A48" s="15" t="s">
        <v>24</v>
      </c>
      <c r="B48" s="46">
        <v>427995.1798657718</v>
      </c>
      <c r="C48" s="33">
        <v>574314.1798657718</v>
      </c>
      <c r="D48" s="33">
        <v>573342.1798657718</v>
      </c>
      <c r="E48" s="33">
        <v>551262.1798657718</v>
      </c>
      <c r="F48" s="33">
        <v>556901.1798657718</v>
      </c>
      <c r="G48" s="33">
        <v>563855.1798657718</v>
      </c>
      <c r="H48" s="33">
        <v>463171.1798657718</v>
      </c>
      <c r="I48" s="33">
        <v>432799.1798657718</v>
      </c>
      <c r="J48" s="33">
        <v>577162.1798657718</v>
      </c>
      <c r="K48" s="47">
        <v>604830.1798657718</v>
      </c>
    </row>
    <row r="49" spans="1:11" ht="12.75">
      <c r="A49" s="15" t="s">
        <v>25</v>
      </c>
      <c r="B49" s="46">
        <v>449874.1798657718</v>
      </c>
      <c r="C49" s="33">
        <v>618537.1798657718</v>
      </c>
      <c r="D49" s="33">
        <v>593168.1798657718</v>
      </c>
      <c r="E49" s="33">
        <v>562143.1798657718</v>
      </c>
      <c r="F49" s="33">
        <v>578530.1798657718</v>
      </c>
      <c r="G49" s="33">
        <v>580661.1798657718</v>
      </c>
      <c r="H49" s="33">
        <v>488003.1798657718</v>
      </c>
      <c r="I49" s="33">
        <v>458254.1798657718</v>
      </c>
      <c r="J49" s="33">
        <v>610134.1798657718</v>
      </c>
      <c r="K49" s="47">
        <v>625705.1798657718</v>
      </c>
    </row>
    <row r="50" spans="1:11" ht="12.75">
      <c r="A50" s="15" t="s">
        <v>0</v>
      </c>
      <c r="B50" s="46">
        <v>460061.1798657718</v>
      </c>
      <c r="C50" s="33">
        <v>631771.1798657718</v>
      </c>
      <c r="D50" s="33">
        <v>591581.1798657718</v>
      </c>
      <c r="E50" s="33">
        <v>558023.1798657718</v>
      </c>
      <c r="F50" s="33">
        <v>579818.1798657718</v>
      </c>
      <c r="G50" s="33">
        <v>572862.1798657718</v>
      </c>
      <c r="H50" s="33">
        <v>497636.1798657718</v>
      </c>
      <c r="I50" s="33">
        <v>465096.1798657718</v>
      </c>
      <c r="J50" s="33">
        <v>619601.1798657718</v>
      </c>
      <c r="K50" s="47">
        <v>624935.1798657718</v>
      </c>
    </row>
    <row r="51" spans="1:11" ht="12.75">
      <c r="A51" s="15" t="s">
        <v>1</v>
      </c>
      <c r="B51" s="46">
        <v>457337.1798657718</v>
      </c>
      <c r="C51" s="33">
        <v>626737.1798657718</v>
      </c>
      <c r="D51" s="33">
        <v>577104.1798657718</v>
      </c>
      <c r="E51" s="33">
        <v>537915.1798657718</v>
      </c>
      <c r="F51" s="33">
        <v>563620.1798657718</v>
      </c>
      <c r="G51" s="33">
        <v>562126.1798657718</v>
      </c>
      <c r="H51" s="33">
        <v>499879.1798657718</v>
      </c>
      <c r="I51" s="33">
        <v>462073.1798657718</v>
      </c>
      <c r="J51" s="33">
        <v>606432.1798657718</v>
      </c>
      <c r="K51" s="47">
        <v>603466.1798657718</v>
      </c>
    </row>
    <row r="52" spans="1:11" ht="12.75">
      <c r="A52" s="15" t="s">
        <v>2</v>
      </c>
      <c r="B52" s="46">
        <v>452728.1798657718</v>
      </c>
      <c r="C52" s="33">
        <v>604567.1798657718</v>
      </c>
      <c r="D52" s="33">
        <v>551174.1798657718</v>
      </c>
      <c r="E52" s="33">
        <v>514162.1798657718</v>
      </c>
      <c r="F52" s="33">
        <v>534129.1798657718</v>
      </c>
      <c r="G52" s="33">
        <v>534244.1798657718</v>
      </c>
      <c r="H52" s="33">
        <v>492560.1798657718</v>
      </c>
      <c r="I52" s="33">
        <v>451673.1798657718</v>
      </c>
      <c r="J52" s="33">
        <v>579357.1798657718</v>
      </c>
      <c r="K52" s="47">
        <v>575606.1798657718</v>
      </c>
    </row>
    <row r="53" spans="1:11" ht="12.75">
      <c r="A53" s="15" t="s">
        <v>3</v>
      </c>
      <c r="B53" s="46">
        <v>451734.1798657718</v>
      </c>
      <c r="C53" s="33">
        <v>612364.1798657718</v>
      </c>
      <c r="D53" s="33">
        <v>558680.1798657718</v>
      </c>
      <c r="E53" s="33">
        <v>527530.1798657718</v>
      </c>
      <c r="F53" s="33">
        <v>545867.1798657718</v>
      </c>
      <c r="G53" s="33">
        <v>552407.1798657718</v>
      </c>
      <c r="H53" s="33">
        <v>488824.1798657718</v>
      </c>
      <c r="I53" s="33">
        <v>445076.1798657718</v>
      </c>
      <c r="J53" s="33">
        <v>591167.1798657718</v>
      </c>
      <c r="K53" s="47">
        <v>582307.1798657718</v>
      </c>
    </row>
    <row r="54" spans="1:11" ht="12.75">
      <c r="A54" s="15" t="s">
        <v>4</v>
      </c>
      <c r="B54" s="46">
        <v>451484.1798657718</v>
      </c>
      <c r="C54" s="33">
        <v>608092.1798657718</v>
      </c>
      <c r="D54" s="33">
        <v>556861.1798657718</v>
      </c>
      <c r="E54" s="33">
        <v>525526.1798657718</v>
      </c>
      <c r="F54" s="33">
        <v>545335.1798657718</v>
      </c>
      <c r="G54" s="33">
        <v>552216.1798657718</v>
      </c>
      <c r="H54" s="33">
        <v>477416.1798657718</v>
      </c>
      <c r="I54" s="33">
        <v>439542.1798657718</v>
      </c>
      <c r="J54" s="33">
        <v>588996.1798657718</v>
      </c>
      <c r="K54" s="47">
        <v>573353.1798657718</v>
      </c>
    </row>
    <row r="55" spans="1:11" ht="12.75">
      <c r="A55" s="15" t="s">
        <v>5</v>
      </c>
      <c r="B55" s="46">
        <v>454817.1798657718</v>
      </c>
      <c r="C55" s="33">
        <v>592653.1798657718</v>
      </c>
      <c r="D55" s="33">
        <v>540928.1798657718</v>
      </c>
      <c r="E55" s="33">
        <v>512943.1798657718</v>
      </c>
      <c r="F55" s="33">
        <v>527809.1798657718</v>
      </c>
      <c r="G55" s="33">
        <v>539713.1798657718</v>
      </c>
      <c r="H55" s="33">
        <v>470517.1798657718</v>
      </c>
      <c r="I55" s="33">
        <v>435845.1798657718</v>
      </c>
      <c r="J55" s="33">
        <v>575933.1798657718</v>
      </c>
      <c r="K55" s="47">
        <v>557977.1798657718</v>
      </c>
    </row>
    <row r="56" spans="1:11" ht="12.75">
      <c r="A56" s="15" t="s">
        <v>6</v>
      </c>
      <c r="B56" s="46">
        <v>461155.1798657718</v>
      </c>
      <c r="C56" s="33">
        <v>569046.1798657718</v>
      </c>
      <c r="D56" s="33">
        <v>528691.1798657718</v>
      </c>
      <c r="E56" s="33">
        <v>496142.1798657718</v>
      </c>
      <c r="F56" s="33">
        <v>505375.1798657718</v>
      </c>
      <c r="G56" s="33">
        <v>525217.1798657718</v>
      </c>
      <c r="H56" s="33">
        <v>472236.1798657718</v>
      </c>
      <c r="I56" s="33">
        <v>436354.1798657718</v>
      </c>
      <c r="J56" s="33">
        <v>558354.1798657718</v>
      </c>
      <c r="K56" s="47">
        <v>537262.1798657718</v>
      </c>
    </row>
    <row r="57" spans="1:11" ht="12.75">
      <c r="A57" s="15" t="s">
        <v>7</v>
      </c>
      <c r="B57" s="46">
        <v>472639.1798657718</v>
      </c>
      <c r="C57" s="33">
        <v>549700.1798657718</v>
      </c>
      <c r="D57" s="33">
        <v>529709.1798657718</v>
      </c>
      <c r="E57" s="33">
        <v>484056.1798657718</v>
      </c>
      <c r="F57" s="33">
        <v>495377.1798657718</v>
      </c>
      <c r="G57" s="33">
        <v>519351.1798657718</v>
      </c>
      <c r="H57" s="33">
        <v>484088.1798657718</v>
      </c>
      <c r="I57" s="33">
        <v>443440.1798657718</v>
      </c>
      <c r="J57" s="33">
        <v>544566.1798657718</v>
      </c>
      <c r="K57" s="47">
        <v>524453.1798657718</v>
      </c>
    </row>
    <row r="58" spans="1:11" ht="12.75">
      <c r="A58" s="15" t="s">
        <v>8</v>
      </c>
      <c r="B58" s="46">
        <v>489493.1798657718</v>
      </c>
      <c r="C58" s="33">
        <v>564375.1798657718</v>
      </c>
      <c r="D58" s="33">
        <v>556111.1798657718</v>
      </c>
      <c r="E58" s="33">
        <v>514431.1798657718</v>
      </c>
      <c r="F58" s="33">
        <v>527588.1798657718</v>
      </c>
      <c r="G58" s="33">
        <v>541703.1798657718</v>
      </c>
      <c r="H58" s="33">
        <v>509966.1798657718</v>
      </c>
      <c r="I58" s="33">
        <v>480458.1798657718</v>
      </c>
      <c r="J58" s="33">
        <v>561112.1798657718</v>
      </c>
      <c r="K58" s="47">
        <v>558274.1798657718</v>
      </c>
    </row>
    <row r="59" spans="1:11" ht="12.75">
      <c r="A59" s="15" t="s">
        <v>9</v>
      </c>
      <c r="B59" s="46">
        <v>526890.1798657718</v>
      </c>
      <c r="C59" s="33">
        <v>584883.1798657718</v>
      </c>
      <c r="D59" s="33">
        <v>574228.1798657718</v>
      </c>
      <c r="E59" s="33">
        <v>550693.1798657718</v>
      </c>
      <c r="F59" s="33">
        <v>570646.1798657718</v>
      </c>
      <c r="G59" s="33">
        <v>573934.1798657718</v>
      </c>
      <c r="H59" s="33">
        <v>549574.1798657718</v>
      </c>
      <c r="I59" s="33">
        <v>537035.1798657718</v>
      </c>
      <c r="J59" s="33">
        <v>592162.1798657718</v>
      </c>
      <c r="K59" s="47">
        <v>598068.1798657718</v>
      </c>
    </row>
    <row r="60" spans="1:11" ht="12.75">
      <c r="A60" s="15" t="s">
        <v>10</v>
      </c>
      <c r="B60" s="46">
        <v>526951.1798657718</v>
      </c>
      <c r="C60" s="33">
        <v>577473.1798657718</v>
      </c>
      <c r="D60" s="33">
        <v>565773.1798657718</v>
      </c>
      <c r="E60" s="33">
        <v>548740.1798657718</v>
      </c>
      <c r="F60" s="33">
        <v>571564.1798657718</v>
      </c>
      <c r="G60" s="33">
        <v>569641.1798657718</v>
      </c>
      <c r="H60" s="33">
        <v>544033.1798657718</v>
      </c>
      <c r="I60" s="33">
        <v>538256.1798657718</v>
      </c>
      <c r="J60" s="33">
        <v>585413.1798657718</v>
      </c>
      <c r="K60" s="47">
        <v>594733.1798657718</v>
      </c>
    </row>
    <row r="61" spans="1:11" ht="12.75">
      <c r="A61" s="15" t="s">
        <v>11</v>
      </c>
      <c r="B61" s="46">
        <v>506195.1798657718</v>
      </c>
      <c r="C61" s="33">
        <v>554916.1798657718</v>
      </c>
      <c r="D61" s="33">
        <v>544133.1798657718</v>
      </c>
      <c r="E61" s="33">
        <v>527714.1798657718</v>
      </c>
      <c r="F61" s="33">
        <v>547019.1798657718</v>
      </c>
      <c r="G61" s="33">
        <v>553172.1798657718</v>
      </c>
      <c r="H61" s="33">
        <v>526983.1798657718</v>
      </c>
      <c r="I61" s="33">
        <v>520086.1798657718</v>
      </c>
      <c r="J61" s="33">
        <v>561145.1798657718</v>
      </c>
      <c r="K61" s="47">
        <v>572232.1798657718</v>
      </c>
    </row>
    <row r="62" spans="1:11" ht="12.75">
      <c r="A62" s="15" t="s">
        <v>12</v>
      </c>
      <c r="B62" s="46">
        <v>465893.1798657718</v>
      </c>
      <c r="C62" s="33">
        <v>507999.1798657718</v>
      </c>
      <c r="D62" s="33">
        <v>499365.1798657718</v>
      </c>
      <c r="E62" s="33">
        <v>486729.1798657718</v>
      </c>
      <c r="F62" s="33">
        <v>503084.1798657718</v>
      </c>
      <c r="G62" s="33">
        <v>517696.1798657718</v>
      </c>
      <c r="H62" s="33">
        <v>496585.1798657718</v>
      </c>
      <c r="I62" s="33">
        <v>483979.1798657718</v>
      </c>
      <c r="J62" s="33">
        <v>514588.1798657718</v>
      </c>
      <c r="K62" s="47">
        <v>528104.1798657718</v>
      </c>
    </row>
    <row r="63" spans="1:11" ht="13.5" thickBot="1">
      <c r="A63" s="16" t="s">
        <v>26</v>
      </c>
      <c r="B63" s="48">
        <v>425992.1798657718</v>
      </c>
      <c r="C63" s="49">
        <v>457323.1798657718</v>
      </c>
      <c r="D63" s="49">
        <v>449014.1798657718</v>
      </c>
      <c r="E63" s="49">
        <v>437273.1798657718</v>
      </c>
      <c r="F63" s="49">
        <v>454117.1798657718</v>
      </c>
      <c r="G63" s="49">
        <v>474528.1798657718</v>
      </c>
      <c r="H63" s="49">
        <v>459761.1798657718</v>
      </c>
      <c r="I63" s="49">
        <v>443193.1798657718</v>
      </c>
      <c r="J63" s="49">
        <v>465843.1798657718</v>
      </c>
      <c r="K63" s="50">
        <v>476927.1798657718</v>
      </c>
    </row>
    <row r="64" spans="1:11" ht="13.5" thickBot="1">
      <c r="A64" s="8" t="s">
        <v>27</v>
      </c>
      <c r="B64" s="13">
        <f aca="true" t="shared" si="1" ref="B64:K64">SUM(B40:B63)</f>
        <v>10587166.316778524</v>
      </c>
      <c r="C64" s="13">
        <f t="shared" si="1"/>
        <v>12402885.316778524</v>
      </c>
      <c r="D64" s="13">
        <f t="shared" si="1"/>
        <v>12102601.316778524</v>
      </c>
      <c r="E64" s="13">
        <f t="shared" si="1"/>
        <v>11568184.316778524</v>
      </c>
      <c r="F64" s="13">
        <f t="shared" si="1"/>
        <v>11778730.316778524</v>
      </c>
      <c r="G64" s="13">
        <f t="shared" si="1"/>
        <v>12077313.316778524</v>
      </c>
      <c r="H64" s="13">
        <f t="shared" si="1"/>
        <v>11183959.316778524</v>
      </c>
      <c r="I64" s="13">
        <f t="shared" si="1"/>
        <v>10644853.316778524</v>
      </c>
      <c r="J64" s="13">
        <f t="shared" si="1"/>
        <v>12421865.316778524</v>
      </c>
      <c r="K64" s="42">
        <f t="shared" si="1"/>
        <v>12617225.316778524</v>
      </c>
    </row>
    <row r="67" ht="12.75">
      <c r="K67" t="s">
        <v>28</v>
      </c>
    </row>
    <row r="73" ht="13.5" thickBot="1"/>
    <row r="74" spans="1:12" ht="13.5" thickBot="1">
      <c r="A74" s="55" t="s">
        <v>14</v>
      </c>
      <c r="B74" s="57" t="s">
        <v>15</v>
      </c>
      <c r="C74" s="58"/>
      <c r="D74" s="58"/>
      <c r="E74" s="58"/>
      <c r="F74" s="58"/>
      <c r="G74" s="58"/>
      <c r="H74" s="58"/>
      <c r="I74" s="58"/>
      <c r="J74" s="58"/>
      <c r="K74" s="58"/>
      <c r="L74" s="59"/>
    </row>
    <row r="75" spans="1:12" ht="13.5" thickBot="1">
      <c r="A75" s="56"/>
      <c r="B75" s="28">
        <v>21</v>
      </c>
      <c r="C75" s="29">
        <v>22</v>
      </c>
      <c r="D75" s="29">
        <v>23</v>
      </c>
      <c r="E75" s="29">
        <v>24</v>
      </c>
      <c r="F75" s="29">
        <v>25</v>
      </c>
      <c r="G75" s="29">
        <v>26</v>
      </c>
      <c r="H75" s="29">
        <v>27</v>
      </c>
      <c r="I75" s="29">
        <v>28</v>
      </c>
      <c r="J75" s="29">
        <v>29</v>
      </c>
      <c r="K75" s="29">
        <v>30</v>
      </c>
      <c r="L75" s="30">
        <v>31</v>
      </c>
    </row>
    <row r="76" spans="1:12" ht="12.75">
      <c r="A76" s="14" t="s">
        <v>16</v>
      </c>
      <c r="B76" s="34">
        <v>437958.1798657718</v>
      </c>
      <c r="C76" s="35">
        <v>428219.1798657718</v>
      </c>
      <c r="D76" s="35">
        <v>421710.1798657718</v>
      </c>
      <c r="E76" s="35">
        <v>431026.1798657718</v>
      </c>
      <c r="F76" s="35">
        <v>418696.1798657718</v>
      </c>
      <c r="G76" s="35">
        <v>404836.1798657718</v>
      </c>
      <c r="H76" s="35">
        <v>433686.1798657718</v>
      </c>
      <c r="I76" s="35">
        <v>434494.1798657718</v>
      </c>
      <c r="J76" s="35">
        <v>434506.1798657718</v>
      </c>
      <c r="K76" s="35">
        <v>439972.1798657718</v>
      </c>
      <c r="L76" s="36">
        <v>462709.1798657718</v>
      </c>
    </row>
    <row r="77" spans="1:12" ht="12.75">
      <c r="A77" s="15" t="s">
        <v>17</v>
      </c>
      <c r="B77" s="37">
        <v>413059.1798657718</v>
      </c>
      <c r="C77" s="33">
        <v>410986.1798657718</v>
      </c>
      <c r="D77" s="33">
        <v>404197.1798657718</v>
      </c>
      <c r="E77" s="33">
        <v>406197.1798657718</v>
      </c>
      <c r="F77" s="33">
        <v>392021.1798657718</v>
      </c>
      <c r="G77" s="33">
        <v>387284.1798657718</v>
      </c>
      <c r="H77" s="33">
        <v>408915.1798657718</v>
      </c>
      <c r="I77" s="33">
        <v>413783.1798657718</v>
      </c>
      <c r="J77" s="33">
        <v>414194.1798657718</v>
      </c>
      <c r="K77" s="33">
        <v>417523.1798657718</v>
      </c>
      <c r="L77" s="38">
        <v>438642.1798657718</v>
      </c>
    </row>
    <row r="78" spans="1:12" ht="12.75">
      <c r="A78" s="15" t="s">
        <v>18</v>
      </c>
      <c r="B78" s="37">
        <v>406647.1798657718</v>
      </c>
      <c r="C78" s="33">
        <v>406230.1798657718</v>
      </c>
      <c r="D78" s="33">
        <v>398654.1798657718</v>
      </c>
      <c r="E78" s="33">
        <v>395584.1798657718</v>
      </c>
      <c r="F78" s="33">
        <v>365122.1798657718</v>
      </c>
      <c r="G78" s="33"/>
      <c r="H78" s="33"/>
      <c r="I78" s="33"/>
      <c r="J78" s="33"/>
      <c r="K78" s="33"/>
      <c r="L78" s="38"/>
    </row>
    <row r="79" spans="1:12" ht="12.75">
      <c r="A79" s="15" t="s">
        <v>18</v>
      </c>
      <c r="B79" s="37"/>
      <c r="C79" s="33"/>
      <c r="D79" s="33"/>
      <c r="E79" s="33"/>
      <c r="F79" s="33">
        <v>390398.1798657718</v>
      </c>
      <c r="G79" s="33">
        <v>379784.1798657718</v>
      </c>
      <c r="H79" s="33">
        <v>399394.1798657718</v>
      </c>
      <c r="I79" s="33">
        <v>405627.1798657718</v>
      </c>
      <c r="J79" s="33">
        <v>404960.1798657718</v>
      </c>
      <c r="K79" s="33">
        <v>410289.1798657718</v>
      </c>
      <c r="L79" s="38">
        <v>427552.1798657718</v>
      </c>
    </row>
    <row r="80" spans="1:12" ht="12.75">
      <c r="A80" s="15" t="s">
        <v>19</v>
      </c>
      <c r="B80" s="37">
        <v>405238.1798657718</v>
      </c>
      <c r="C80" s="33">
        <v>402334.1798657718</v>
      </c>
      <c r="D80" s="33">
        <v>394410.1798657718</v>
      </c>
      <c r="E80" s="33">
        <v>393340.1798657718</v>
      </c>
      <c r="F80" s="33">
        <v>371405.1798657718</v>
      </c>
      <c r="G80" s="33">
        <v>378347.1798657718</v>
      </c>
      <c r="H80" s="33">
        <v>398235.1798657718</v>
      </c>
      <c r="I80" s="33">
        <v>404065.1798657718</v>
      </c>
      <c r="J80" s="33">
        <v>403622.1798657718</v>
      </c>
      <c r="K80" s="33">
        <v>409336.1798657718</v>
      </c>
      <c r="L80" s="38">
        <v>422407.1798657718</v>
      </c>
    </row>
    <row r="81" spans="1:12" ht="12.75">
      <c r="A81" s="15" t="s">
        <v>20</v>
      </c>
      <c r="B81" s="37">
        <v>407334.1798657718</v>
      </c>
      <c r="C81" s="33">
        <v>401905.1798657718</v>
      </c>
      <c r="D81" s="33">
        <v>394582.1798657718</v>
      </c>
      <c r="E81" s="33">
        <v>391171.1798657718</v>
      </c>
      <c r="F81" s="33">
        <v>372164.1798657718</v>
      </c>
      <c r="G81" s="33">
        <v>380618.1798657718</v>
      </c>
      <c r="H81" s="33">
        <v>400608.1798657718</v>
      </c>
      <c r="I81" s="33">
        <v>403378.1798657718</v>
      </c>
      <c r="J81" s="33">
        <v>401878.1798657718</v>
      </c>
      <c r="K81" s="33">
        <v>409417.1798657718</v>
      </c>
      <c r="L81" s="38">
        <v>422999.1798657718</v>
      </c>
    </row>
    <row r="82" spans="1:12" ht="12.75">
      <c r="A82" s="15" t="s">
        <v>21</v>
      </c>
      <c r="B82" s="37">
        <v>421991.1798657718</v>
      </c>
      <c r="C82" s="33">
        <v>417382.1798657718</v>
      </c>
      <c r="D82" s="33">
        <v>409501.1798657718</v>
      </c>
      <c r="E82" s="33">
        <v>397852.1798657718</v>
      </c>
      <c r="F82" s="33">
        <v>380838.1798657718</v>
      </c>
      <c r="G82" s="33">
        <v>398499.1798657718</v>
      </c>
      <c r="H82" s="33">
        <v>418662.1798657718</v>
      </c>
      <c r="I82" s="33">
        <v>420107.1798657718</v>
      </c>
      <c r="J82" s="33">
        <v>419168.1798657718</v>
      </c>
      <c r="K82" s="33">
        <v>424953.1798657718</v>
      </c>
      <c r="L82" s="38">
        <v>429996.1798657718</v>
      </c>
    </row>
    <row r="83" spans="1:12" ht="12.75">
      <c r="A83" s="15" t="s">
        <v>22</v>
      </c>
      <c r="B83" s="37">
        <v>467258.1798657718</v>
      </c>
      <c r="C83" s="33">
        <v>462608.1798657718</v>
      </c>
      <c r="D83" s="33">
        <v>453942.1798657718</v>
      </c>
      <c r="E83" s="33">
        <v>416422.1798657718</v>
      </c>
      <c r="F83" s="33">
        <v>399879.1798657718</v>
      </c>
      <c r="G83" s="33">
        <v>451211.1798657718</v>
      </c>
      <c r="H83" s="33">
        <v>467643.1798657718</v>
      </c>
      <c r="I83" s="33">
        <v>468910.1798657718</v>
      </c>
      <c r="J83" s="33">
        <v>468378.1798657718</v>
      </c>
      <c r="K83" s="33">
        <v>469807.1798657718</v>
      </c>
      <c r="L83" s="38">
        <v>449449.1798657718</v>
      </c>
    </row>
    <row r="84" spans="1:12" ht="12.75">
      <c r="A84" s="15" t="s">
        <v>23</v>
      </c>
      <c r="B84" s="37">
        <v>532059.1798657718</v>
      </c>
      <c r="C84" s="33">
        <v>531671.1798657718</v>
      </c>
      <c r="D84" s="33">
        <v>518049.1798657718</v>
      </c>
      <c r="E84" s="33">
        <v>443848.1798657718</v>
      </c>
      <c r="F84" s="33">
        <v>414567.1798657718</v>
      </c>
      <c r="G84" s="33">
        <v>510040.1798657718</v>
      </c>
      <c r="H84" s="33">
        <v>526418.1798657718</v>
      </c>
      <c r="I84" s="33">
        <v>528970.1798657718</v>
      </c>
      <c r="J84" s="33">
        <v>523201.1798657718</v>
      </c>
      <c r="K84" s="33">
        <v>524881.1798657718</v>
      </c>
      <c r="L84" s="38">
        <v>464189.1798657718</v>
      </c>
    </row>
    <row r="85" spans="1:12" ht="12.75">
      <c r="A85" s="15" t="s">
        <v>24</v>
      </c>
      <c r="B85" s="37">
        <v>588631.1798657718</v>
      </c>
      <c r="C85" s="33">
        <v>593797.1798657718</v>
      </c>
      <c r="D85" s="33">
        <v>573012.1798657718</v>
      </c>
      <c r="E85" s="33">
        <v>469403.1798657718</v>
      </c>
      <c r="F85" s="33">
        <v>444082.1798657718</v>
      </c>
      <c r="G85" s="33">
        <v>579782.1798657718</v>
      </c>
      <c r="H85" s="33">
        <v>594433.1798657718</v>
      </c>
      <c r="I85" s="33">
        <v>588786.1798657718</v>
      </c>
      <c r="J85" s="33">
        <v>579351.1798657718</v>
      </c>
      <c r="K85" s="33">
        <v>585570.1798657718</v>
      </c>
      <c r="L85" s="38">
        <v>493747.1798657718</v>
      </c>
    </row>
    <row r="86" spans="1:12" ht="12.75">
      <c r="A86" s="15" t="s">
        <v>25</v>
      </c>
      <c r="B86" s="37">
        <v>608251.1798657718</v>
      </c>
      <c r="C86" s="33">
        <v>622389.1798657718</v>
      </c>
      <c r="D86" s="33">
        <v>595728.1798657718</v>
      </c>
      <c r="E86" s="33">
        <v>495144.1798657718</v>
      </c>
      <c r="F86" s="33">
        <v>467392.1798657718</v>
      </c>
      <c r="G86" s="33">
        <v>617762.1798657718</v>
      </c>
      <c r="H86" s="33">
        <v>623955.1798657718</v>
      </c>
      <c r="I86" s="33">
        <v>620305.1798657718</v>
      </c>
      <c r="J86" s="33">
        <v>606688.1798657718</v>
      </c>
      <c r="K86" s="33">
        <v>620448.1798657718</v>
      </c>
      <c r="L86" s="38">
        <v>517491.1798657718</v>
      </c>
    </row>
    <row r="87" spans="1:12" ht="12.75">
      <c r="A87" s="15" t="s">
        <v>0</v>
      </c>
      <c r="B87" s="37">
        <v>605645.1798657718</v>
      </c>
      <c r="C87" s="33">
        <v>627005.1798657718</v>
      </c>
      <c r="D87" s="33">
        <v>594440.1798657718</v>
      </c>
      <c r="E87" s="33">
        <v>507452.1798657718</v>
      </c>
      <c r="F87" s="33">
        <v>476010.1798657718</v>
      </c>
      <c r="G87" s="33">
        <v>623484.1798657718</v>
      </c>
      <c r="H87" s="33">
        <v>627462.1798657718</v>
      </c>
      <c r="I87" s="33">
        <v>624281.1798657718</v>
      </c>
      <c r="J87" s="33">
        <v>612564.1798657718</v>
      </c>
      <c r="K87" s="33">
        <v>626882.1798657718</v>
      </c>
      <c r="L87" s="38">
        <v>530146.1798657718</v>
      </c>
    </row>
    <row r="88" spans="1:12" ht="12.75">
      <c r="A88" s="15" t="s">
        <v>1</v>
      </c>
      <c r="B88" s="37">
        <v>591771.1798657718</v>
      </c>
      <c r="C88" s="33">
        <v>619016.1798657718</v>
      </c>
      <c r="D88" s="33">
        <v>582076.1798657718</v>
      </c>
      <c r="E88" s="33">
        <v>507076.1798657718</v>
      </c>
      <c r="F88" s="33">
        <v>472131.1798657718</v>
      </c>
      <c r="G88" s="33">
        <v>614168.1798657718</v>
      </c>
      <c r="H88" s="33">
        <v>611659.1798657718</v>
      </c>
      <c r="I88" s="33">
        <v>609901.1798657718</v>
      </c>
      <c r="J88" s="33">
        <v>595912.1798657718</v>
      </c>
      <c r="K88" s="33">
        <v>614911.1798657718</v>
      </c>
      <c r="L88" s="38">
        <v>533850.1798657718</v>
      </c>
    </row>
    <row r="89" spans="1:12" ht="12.75">
      <c r="A89" s="15" t="s">
        <v>2</v>
      </c>
      <c r="B89" s="37">
        <v>570284.1798657718</v>
      </c>
      <c r="C89" s="33">
        <v>597884.1798657718</v>
      </c>
      <c r="D89" s="33">
        <v>556284.1798657718</v>
      </c>
      <c r="E89" s="33">
        <v>496979.1798657718</v>
      </c>
      <c r="F89" s="33">
        <v>472086.1798657718</v>
      </c>
      <c r="G89" s="33">
        <v>591828.1798657718</v>
      </c>
      <c r="H89" s="33">
        <v>593984.1798657718</v>
      </c>
      <c r="I89" s="33">
        <v>586452.1798657718</v>
      </c>
      <c r="J89" s="33">
        <v>570948.1798657718</v>
      </c>
      <c r="K89" s="33">
        <v>595357.1798657718</v>
      </c>
      <c r="L89" s="38">
        <v>527695.1798657718</v>
      </c>
    </row>
    <row r="90" spans="1:12" ht="12.75">
      <c r="A90" s="15" t="s">
        <v>3</v>
      </c>
      <c r="B90" s="37">
        <v>581433.1798657718</v>
      </c>
      <c r="C90" s="33">
        <v>611085.1798657718</v>
      </c>
      <c r="D90" s="33">
        <v>567095.1798657718</v>
      </c>
      <c r="E90" s="33">
        <v>492271.1798657718</v>
      </c>
      <c r="F90" s="33">
        <v>472464.1798657718</v>
      </c>
      <c r="G90" s="33">
        <v>607193.1798657718</v>
      </c>
      <c r="H90" s="33">
        <v>609766.1798657718</v>
      </c>
      <c r="I90" s="33">
        <v>603635.1798657718</v>
      </c>
      <c r="J90" s="33">
        <v>591448.1798657718</v>
      </c>
      <c r="K90" s="33">
        <v>608492.1798657718</v>
      </c>
      <c r="L90" s="38">
        <v>526576.1798657718</v>
      </c>
    </row>
    <row r="91" spans="1:12" ht="12.75">
      <c r="A91" s="15" t="s">
        <v>4</v>
      </c>
      <c r="B91" s="37">
        <v>581585.1798657718</v>
      </c>
      <c r="C91" s="33">
        <v>609597.1798657718</v>
      </c>
      <c r="D91" s="33">
        <v>571110.1798657718</v>
      </c>
      <c r="E91" s="33">
        <v>486116.1798657718</v>
      </c>
      <c r="F91" s="33">
        <v>471257.1798657718</v>
      </c>
      <c r="G91" s="33">
        <v>608600.1798657718</v>
      </c>
      <c r="H91" s="33">
        <v>609036.1798657718</v>
      </c>
      <c r="I91" s="33">
        <v>606015.1798657718</v>
      </c>
      <c r="J91" s="33">
        <v>599340.1798657718</v>
      </c>
      <c r="K91" s="33">
        <v>606579.1798657718</v>
      </c>
      <c r="L91" s="38">
        <v>525939.1798657718</v>
      </c>
    </row>
    <row r="92" spans="1:12" ht="12.75">
      <c r="A92" s="15" t="s">
        <v>5</v>
      </c>
      <c r="B92" s="37">
        <v>568628.1798657718</v>
      </c>
      <c r="C92" s="33">
        <v>596332.1798657718</v>
      </c>
      <c r="D92" s="33">
        <v>563961.1798657718</v>
      </c>
      <c r="E92" s="33">
        <v>482250.1798657718</v>
      </c>
      <c r="F92" s="33">
        <v>478175.1798657718</v>
      </c>
      <c r="G92" s="33">
        <v>601310.1798657718</v>
      </c>
      <c r="H92" s="33">
        <v>601903.1798657718</v>
      </c>
      <c r="I92" s="33">
        <v>599269.1798657718</v>
      </c>
      <c r="J92" s="33">
        <v>592613.1798657718</v>
      </c>
      <c r="K92" s="33">
        <v>594033.1798657718</v>
      </c>
      <c r="L92" s="38">
        <v>528957.1798657718</v>
      </c>
    </row>
    <row r="93" spans="1:12" ht="12.75">
      <c r="A93" s="15" t="s">
        <v>6</v>
      </c>
      <c r="B93" s="37">
        <v>546730.1798657718</v>
      </c>
      <c r="C93" s="33">
        <v>578326.1798657718</v>
      </c>
      <c r="D93" s="33">
        <v>548852.1798657718</v>
      </c>
      <c r="E93" s="33">
        <v>491190.1798657718</v>
      </c>
      <c r="F93" s="33">
        <v>496924.1798657718</v>
      </c>
      <c r="G93" s="33">
        <v>595012.1798657718</v>
      </c>
      <c r="H93" s="33">
        <v>593839.1798657718</v>
      </c>
      <c r="I93" s="33">
        <v>592631.1798657718</v>
      </c>
      <c r="J93" s="33">
        <v>590067.1798657718</v>
      </c>
      <c r="K93" s="33">
        <v>583250.1798657718</v>
      </c>
      <c r="L93" s="38">
        <v>544285.1798657718</v>
      </c>
    </row>
    <row r="94" spans="1:12" ht="12.75">
      <c r="A94" s="15" t="s">
        <v>7</v>
      </c>
      <c r="B94" s="37">
        <v>535843.1798657718</v>
      </c>
      <c r="C94" s="33">
        <v>565726.1798657718</v>
      </c>
      <c r="D94" s="33">
        <v>534066.1798657718</v>
      </c>
      <c r="E94" s="33">
        <v>500781.1798657718</v>
      </c>
      <c r="F94" s="33">
        <v>527786.1798657718</v>
      </c>
      <c r="G94" s="33">
        <v>606170.1798657718</v>
      </c>
      <c r="H94" s="33">
        <v>606196.1798657718</v>
      </c>
      <c r="I94" s="33">
        <v>605374.1798657718</v>
      </c>
      <c r="J94" s="33">
        <v>605599.1798657718</v>
      </c>
      <c r="K94" s="33">
        <v>603705.1798657718</v>
      </c>
      <c r="L94" s="38">
        <v>581112.1798657718</v>
      </c>
    </row>
    <row r="95" spans="1:12" ht="12.75">
      <c r="A95" s="15" t="s">
        <v>8</v>
      </c>
      <c r="B95" s="37">
        <v>567543.1798657718</v>
      </c>
      <c r="C95" s="33">
        <v>585421.1798657718</v>
      </c>
      <c r="D95" s="33">
        <v>562452.1798657718</v>
      </c>
      <c r="E95" s="33">
        <v>527104.1798657718</v>
      </c>
      <c r="F95" s="33">
        <v>541820.1798657718</v>
      </c>
      <c r="G95" s="33">
        <v>619739.1798657718</v>
      </c>
      <c r="H95" s="33">
        <v>620997.1798657718</v>
      </c>
      <c r="I95" s="33">
        <v>622770.1798657718</v>
      </c>
      <c r="J95" s="33">
        <v>621104.1798657718</v>
      </c>
      <c r="K95" s="33">
        <v>624206.1798657718</v>
      </c>
      <c r="L95" s="38">
        <v>596483.1798657718</v>
      </c>
    </row>
    <row r="96" spans="1:12" ht="12.75">
      <c r="A96" s="15" t="s">
        <v>9</v>
      </c>
      <c r="B96" s="37">
        <v>595941.1798657718</v>
      </c>
      <c r="C96" s="33">
        <v>592234.1798657718</v>
      </c>
      <c r="D96" s="33">
        <v>583599.1798657718</v>
      </c>
      <c r="E96" s="33">
        <v>548410.1798657718</v>
      </c>
      <c r="F96" s="33">
        <v>535581.1798657718</v>
      </c>
      <c r="G96" s="33">
        <v>605322.1798657718</v>
      </c>
      <c r="H96" s="33">
        <v>607497.1798657718</v>
      </c>
      <c r="I96" s="33">
        <v>605824.1798657718</v>
      </c>
      <c r="J96" s="33">
        <v>605365.1798657718</v>
      </c>
      <c r="K96" s="33">
        <v>612045.1798657718</v>
      </c>
      <c r="L96" s="38">
        <v>587945.1798657718</v>
      </c>
    </row>
    <row r="97" spans="1:12" ht="12.75">
      <c r="A97" s="15" t="s">
        <v>10</v>
      </c>
      <c r="B97" s="37">
        <v>587377.1798657718</v>
      </c>
      <c r="C97" s="33">
        <v>580905.1798657718</v>
      </c>
      <c r="D97" s="33">
        <v>575092.1798657718</v>
      </c>
      <c r="E97" s="33">
        <v>544065.1798657718</v>
      </c>
      <c r="F97" s="33">
        <v>523517.1798657718</v>
      </c>
      <c r="G97" s="33">
        <v>587820.1798657718</v>
      </c>
      <c r="H97" s="33">
        <v>588962.1798657718</v>
      </c>
      <c r="I97" s="33">
        <v>587862.1798657718</v>
      </c>
      <c r="J97" s="33">
        <v>590061.1798657718</v>
      </c>
      <c r="K97" s="33">
        <v>599310.1798657718</v>
      </c>
      <c r="L97" s="38">
        <v>573904.1798657718</v>
      </c>
    </row>
    <row r="98" spans="1:12" ht="12.75">
      <c r="A98" s="15" t="s">
        <v>11</v>
      </c>
      <c r="B98" s="37">
        <v>565982.1798657718</v>
      </c>
      <c r="C98" s="33">
        <v>556385.1798657718</v>
      </c>
      <c r="D98" s="33">
        <v>555082.1798657718</v>
      </c>
      <c r="E98" s="33">
        <v>527863.1798657718</v>
      </c>
      <c r="F98" s="33">
        <v>501964.1798657718</v>
      </c>
      <c r="G98" s="33">
        <v>561181.1798657718</v>
      </c>
      <c r="H98" s="33">
        <v>563165.1798657718</v>
      </c>
      <c r="I98" s="33">
        <v>562349.1798657718</v>
      </c>
      <c r="J98" s="33">
        <v>566142.1798657718</v>
      </c>
      <c r="K98" s="33">
        <v>581552.1798657718</v>
      </c>
      <c r="L98" s="38">
        <v>552834.1798657718</v>
      </c>
    </row>
    <row r="99" spans="1:12" ht="12.75">
      <c r="A99" s="15" t="s">
        <v>12</v>
      </c>
      <c r="B99" s="37">
        <v>518164.1798657718</v>
      </c>
      <c r="C99" s="33">
        <v>513326.1798657718</v>
      </c>
      <c r="D99" s="33">
        <v>521045.1798657718</v>
      </c>
      <c r="E99" s="33">
        <v>498773.1798657718</v>
      </c>
      <c r="F99" s="33">
        <v>466127.1798657718</v>
      </c>
      <c r="G99" s="33">
        <v>515283.1798657718</v>
      </c>
      <c r="H99" s="33">
        <v>514970.1798657718</v>
      </c>
      <c r="I99" s="33">
        <v>518333.1798657718</v>
      </c>
      <c r="J99" s="33">
        <v>525995.1798657718</v>
      </c>
      <c r="K99" s="33">
        <v>548530.1798657718</v>
      </c>
      <c r="L99" s="38">
        <v>522794.1798657718</v>
      </c>
    </row>
    <row r="100" spans="1:12" ht="13.5" thickBot="1">
      <c r="A100" s="16" t="s">
        <v>26</v>
      </c>
      <c r="B100" s="39">
        <v>466140.1798657718</v>
      </c>
      <c r="C100" s="40">
        <v>462359.1798657718</v>
      </c>
      <c r="D100" s="40">
        <v>473572.1798657718</v>
      </c>
      <c r="E100" s="40">
        <v>460282.1798657718</v>
      </c>
      <c r="F100" s="40">
        <v>445040.1798657718</v>
      </c>
      <c r="G100" s="40">
        <v>466644.1798657718</v>
      </c>
      <c r="H100" s="40">
        <v>470502.1798657718</v>
      </c>
      <c r="I100" s="40">
        <v>475461.1798657718</v>
      </c>
      <c r="J100" s="40">
        <v>476974.1798657718</v>
      </c>
      <c r="K100" s="40">
        <v>502684.1798657718</v>
      </c>
      <c r="L100" s="41">
        <v>488653.1798657718</v>
      </c>
    </row>
    <row r="101" spans="1:12" ht="13.5" thickBot="1">
      <c r="A101" s="17" t="s">
        <v>27</v>
      </c>
      <c r="B101" s="31">
        <f aca="true" t="shared" si="2" ref="B101:L101">SUM(B76:B100)</f>
        <v>12571496.316778524</v>
      </c>
      <c r="C101" s="13">
        <f t="shared" si="2"/>
        <v>12773126.316778524</v>
      </c>
      <c r="D101" s="13">
        <f t="shared" si="2"/>
        <v>12352515.316778524</v>
      </c>
      <c r="E101" s="13">
        <f t="shared" si="2"/>
        <v>11310603.316778524</v>
      </c>
      <c r="F101" s="13">
        <f t="shared" si="2"/>
        <v>11297450.496644296</v>
      </c>
      <c r="G101" s="13">
        <f t="shared" si="2"/>
        <v>12691921.316778524</v>
      </c>
      <c r="H101" s="13">
        <f t="shared" si="2"/>
        <v>12891891.316778524</v>
      </c>
      <c r="I101" s="13">
        <f t="shared" si="2"/>
        <v>12888586.316778524</v>
      </c>
      <c r="J101" s="13">
        <f>SUM(J76:J100)</f>
        <v>12800082.316778524</v>
      </c>
      <c r="K101" s="13">
        <f t="shared" si="2"/>
        <v>13013736.316778524</v>
      </c>
      <c r="L101" s="32">
        <f t="shared" si="2"/>
        <v>12150358.316778524</v>
      </c>
    </row>
    <row r="103" spans="1:4" ht="15">
      <c r="A103" s="18" t="s">
        <v>29</v>
      </c>
      <c r="B103" s="61">
        <f>K101+J101+I101+H101+G101+F101+E101+D101+C101+B101+K64+J64+I64+H64+G64+F64+E64+D64+C64+B64+K33+J33+I33+H33+G33+F33+E33+D33+C33+B33+L101</f>
        <v>367826823</v>
      </c>
      <c r="C103" s="62"/>
      <c r="D103" s="19" t="s">
        <v>30</v>
      </c>
    </row>
    <row r="104" ht="25.5" customHeight="1">
      <c r="H104" s="19"/>
    </row>
    <row r="105" spans="1:12" ht="15" customHeight="1">
      <c r="A105" s="1"/>
      <c r="C105" s="19"/>
      <c r="F105" s="1"/>
      <c r="J105" s="3"/>
      <c r="K105" s="3"/>
      <c r="L105" s="3"/>
    </row>
    <row r="106" spans="1:12" ht="32.25" customHeight="1">
      <c r="A106" s="63"/>
      <c r="B106" s="63"/>
      <c r="C106" s="63"/>
      <c r="D106" s="63"/>
      <c r="E106" s="63"/>
      <c r="F106" s="60"/>
      <c r="G106" s="60"/>
      <c r="H106" s="60"/>
      <c r="I106" s="60"/>
      <c r="J106" s="60"/>
      <c r="K106" s="60"/>
      <c r="L106" s="60"/>
    </row>
    <row r="107" spans="1:12" ht="15.75" customHeight="1">
      <c r="A107" s="3"/>
      <c r="C107" s="2"/>
      <c r="D107" s="20"/>
      <c r="E107" s="3"/>
      <c r="F107" s="64"/>
      <c r="G107" s="64"/>
      <c r="H107" s="64"/>
      <c r="I107" s="64"/>
      <c r="J107" s="64"/>
      <c r="K107" s="64"/>
      <c r="L107" s="64"/>
    </row>
    <row r="108" spans="1:12" ht="12.75">
      <c r="A108" s="19"/>
      <c r="C108" s="71"/>
      <c r="D108" s="2"/>
      <c r="H108" s="19"/>
      <c r="J108" s="3"/>
      <c r="K108" s="3"/>
      <c r="L108" s="3"/>
    </row>
    <row r="109" spans="8:10" ht="12.75">
      <c r="H109" s="19"/>
      <c r="J109" s="3"/>
    </row>
    <row r="110" spans="1:11" ht="12.75">
      <c r="A110" s="3"/>
      <c r="C110" s="2"/>
      <c r="D110" s="20"/>
      <c r="E110" s="20"/>
      <c r="F110" s="2"/>
      <c r="G110" s="2"/>
      <c r="H110" s="20"/>
      <c r="I110" s="2"/>
      <c r="J110" s="20"/>
      <c r="K110" s="20"/>
    </row>
  </sheetData>
  <mergeCells count="15">
    <mergeCell ref="A38:A39"/>
    <mergeCell ref="F106:L106"/>
    <mergeCell ref="B103:C103"/>
    <mergeCell ref="A106:E106"/>
    <mergeCell ref="F107:L107"/>
    <mergeCell ref="A1:K1"/>
    <mergeCell ref="B38:K38"/>
    <mergeCell ref="A74:A75"/>
    <mergeCell ref="B74:L74"/>
    <mergeCell ref="B3:F3"/>
    <mergeCell ref="B4:E4"/>
    <mergeCell ref="A5:E5"/>
    <mergeCell ref="C6:K6"/>
    <mergeCell ref="A7:A8"/>
    <mergeCell ref="B7:K7"/>
  </mergeCells>
  <printOptions/>
  <pageMargins left="0.22" right="0.5" top="1" bottom="1" header="0.5" footer="0.5"/>
  <pageSetup fitToHeight="3" horizontalDpi="600" verticalDpi="600" orientation="landscape" paperSize="9" scale="90" r:id="rId1"/>
  <rowBreaks count="2" manualBreakCount="2">
    <brk id="35" max="11" man="1"/>
    <brk id="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О.Н.</dc:creator>
  <cp:keywords/>
  <dc:description/>
  <cp:lastModifiedBy>KorolevOE</cp:lastModifiedBy>
  <cp:lastPrinted>2009-11-13T12:19:25Z</cp:lastPrinted>
  <dcterms:created xsi:type="dcterms:W3CDTF">2003-12-04T14:04:46Z</dcterms:created>
  <dcterms:modified xsi:type="dcterms:W3CDTF">2009-11-13T12:19:29Z</dcterms:modified>
  <cp:category/>
  <cp:version/>
  <cp:contentType/>
  <cp:contentStatus/>
</cp:coreProperties>
</file>