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</sheets>
  <definedNames>
    <definedName name="_xlnm.Print_Area" localSheetId="0">'Лист1'!$A$1:$K$104</definedName>
  </definedNames>
  <calcPr fullCalcOnLoad="1"/>
</workbook>
</file>

<file path=xl/sharedStrings.xml><?xml version="1.0" encoding="utf-8"?>
<sst xmlns="http://schemas.openxmlformats.org/spreadsheetml/2006/main" count="88" uniqueCount="34">
  <si>
    <t>ОАО "Калужская сбытовая компания"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</si>
  <si>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</si>
  <si>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</si>
  <si>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</si>
  <si>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</si>
  <si>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</si>
  <si>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</si>
  <si>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</si>
  <si>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</si>
  <si>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</si>
  <si>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</si>
  <si>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</si>
  <si>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</si>
  <si>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</si>
  <si>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</si>
  <si>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</si>
  <si>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</si>
  <si>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</si>
  <si>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</si>
  <si>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</si>
  <si>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</si>
  <si>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</si>
  <si>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</si>
  <si>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</si>
  <si>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</si>
  <si>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</si>
  <si>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</si>
  <si>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</si>
  <si>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 xml:space="preserve"> </t>
  </si>
  <si>
    <t>Итого за месяц:</t>
  </si>
  <si>
    <t>кВт*ч</t>
  </si>
  <si>
    <t xml:space="preserve">                              </t>
  </si>
  <si>
    <t>Расчетный период: сентябрь 2010 г.</t>
  </si>
  <si>
    <t>Почасовые значения суммарного профиля потребления электрической энергии ГП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</si>
</sst>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0.000"/>
    <numFmt numFmtId="170" formatCode="#,##0_ ;\-#,##0\ "/>
    <numFmt numFmtId="171" formatCode="_-* #,##0.0_р_._-;\-* #,##0.0_р_._-;_-* &quot;-&quot;??_р_._-;_-@_-"/>
    <numFmt numFmtId="172" formatCode="_-* #,##0_р_._-;\-* #,##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10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 readingOrder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0" fontId="0" fillId="0" borderId="3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4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0" fontId="4" fillId="0" borderId="8" xfId="0" applyNumberFormat="1" applyFont="1" applyBorder="1" applyAlignment="1">
      <alignment/>
    </xf>
    <xf numFmtId="2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9" xfId="0" applyBorder="1" applyAlignment="1">
      <alignment/>
    </xf>
    <xf numFmtId="0" fontId="9" fillId="0" borderId="9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72" fontId="0" fillId="0" borderId="0" xfId="18" applyNumberFormat="1" applyAlignment="1">
      <alignment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12" xfId="0" applyFont="1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20.75390625" style="0" customWidth="1"/>
    <col min="2" max="2" width="12.00390625" style="0" customWidth="1"/>
    <col min="3" max="3" width="11.375" style="0" customWidth="1"/>
    <col min="4" max="4" width="12.00390625" style="0" customWidth="1"/>
    <col min="5" max="5" width="12.375" style="0" customWidth="1"/>
    <col min="6" max="10" width="12.00390625" style="0" customWidth="1"/>
    <col min="11" max="11" width="10.875" style="0" customWidth="1"/>
    <col min="15" max="15" width="8.875" style="0" customWidth="1"/>
    <col min="16" max="16" width="10.875" style="0" hidden="1" customWidth="1"/>
  </cols>
  <sheetData>
    <row r="1" spans="1:16" s="1" customFormat="1" ht="18.7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P1" s="1">
        <v>3223</v>
      </c>
    </row>
    <row r="2" spans="8:16" ht="12.75">
      <c r="H2" s="2"/>
      <c r="I2" s="2"/>
      <c r="J2" s="2"/>
      <c r="K2" s="2"/>
      <c r="P2">
        <v>1.2004</v>
      </c>
    </row>
    <row r="3" spans="1:11" s="1" customFormat="1" ht="18.75">
      <c r="A3" s="3"/>
      <c r="B3" s="29" t="s">
        <v>0</v>
      </c>
      <c r="C3" s="29"/>
      <c r="D3" s="29"/>
      <c r="E3" s="29"/>
      <c r="F3" s="29"/>
      <c r="I3" s="4"/>
      <c r="J3" s="4"/>
      <c r="K3" s="4"/>
    </row>
    <row r="4" spans="1:11" s="6" customFormat="1" ht="15.75">
      <c r="A4" s="5"/>
      <c r="B4" s="41"/>
      <c r="C4" s="41"/>
      <c r="D4" s="41"/>
      <c r="E4" s="41"/>
      <c r="H4" s="7"/>
      <c r="I4" s="7"/>
      <c r="J4" s="7"/>
      <c r="K4" s="7"/>
    </row>
    <row r="5" spans="1:11" s="6" customFormat="1" ht="15">
      <c r="A5" s="41" t="s">
        <v>32</v>
      </c>
      <c r="B5" s="41"/>
      <c r="C5" s="41"/>
      <c r="D5" s="41"/>
      <c r="E5" s="41"/>
      <c r="H5" s="8"/>
      <c r="I5" s="7"/>
      <c r="J5" s="7"/>
      <c r="K5" s="7"/>
    </row>
    <row r="6" spans="1:11" ht="37.5" customHeight="1" thickBot="1">
      <c r="A6" s="9"/>
      <c r="C6" s="34"/>
      <c r="D6" s="35"/>
      <c r="E6" s="35"/>
      <c r="F6" s="35"/>
      <c r="G6" s="35"/>
      <c r="H6" s="35"/>
      <c r="I6" s="35"/>
      <c r="J6" s="35"/>
      <c r="K6" s="35"/>
    </row>
    <row r="7" spans="1:11" ht="12.75">
      <c r="A7" s="36" t="s">
        <v>1</v>
      </c>
      <c r="B7" s="38" t="s">
        <v>2</v>
      </c>
      <c r="C7" s="39"/>
      <c r="D7" s="39"/>
      <c r="E7" s="39"/>
      <c r="F7" s="39"/>
      <c r="G7" s="39"/>
      <c r="H7" s="39"/>
      <c r="I7" s="39"/>
      <c r="J7" s="39"/>
      <c r="K7" s="40"/>
    </row>
    <row r="8" spans="1:11" ht="13.5" thickBot="1">
      <c r="A8" s="37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1">
        <v>10</v>
      </c>
    </row>
    <row r="9" spans="1:11" ht="12.75">
      <c r="A9" s="12" t="s">
        <v>3</v>
      </c>
      <c r="B9" s="27">
        <f>363352+(2623105/720)</f>
        <v>366995.2013888889</v>
      </c>
      <c r="C9" s="27">
        <f>363752+(2623105/720)</f>
        <v>367395.2013888889</v>
      </c>
      <c r="D9" s="27">
        <f>354748+(2623105/720)</f>
        <v>358391.2013888889</v>
      </c>
      <c r="E9" s="27">
        <f>376363+(2623105/720)</f>
        <v>380006.2013888889</v>
      </c>
      <c r="F9" s="27">
        <f>354568+(2623105/720)</f>
        <v>358211.2013888889</v>
      </c>
      <c r="G9" s="27">
        <f>335437+(2623105/720)</f>
        <v>339080.2013888889</v>
      </c>
      <c r="H9" s="27">
        <f>370356+(2623105/720)</f>
        <v>373999.2013888889</v>
      </c>
      <c r="I9" s="27">
        <f>379118+(2623105/720)</f>
        <v>382761.2013888889</v>
      </c>
      <c r="J9" s="27">
        <f>386569+(2623105/720)</f>
        <v>390212.2013888889</v>
      </c>
      <c r="K9" s="27">
        <f>391275+(2623105/720)</f>
        <v>394918.2013888889</v>
      </c>
    </row>
    <row r="10" spans="1:11" ht="12.75">
      <c r="A10" s="13" t="s">
        <v>4</v>
      </c>
      <c r="B10" s="27">
        <f>341591+(2623105/720)</f>
        <v>345234.2013888889</v>
      </c>
      <c r="C10" s="27">
        <f>339852+(2623105/720)</f>
        <v>343495.2013888889</v>
      </c>
      <c r="D10" s="27">
        <f>332437+(2623105/720)</f>
        <v>336080.2013888889</v>
      </c>
      <c r="E10" s="27">
        <f>350801+(2623105/720)</f>
        <v>354444.2013888889</v>
      </c>
      <c r="F10" s="27">
        <f>331951+(2623105/720)</f>
        <v>335594.2013888889</v>
      </c>
      <c r="G10" s="27">
        <f>315520+(2623105/720)</f>
        <v>319163.2013888889</v>
      </c>
      <c r="H10" s="27">
        <f>346551+(2623105/720)</f>
        <v>350194.2013888889</v>
      </c>
      <c r="I10" s="27">
        <f>357559+(2623105/720)</f>
        <v>361202.2013888889</v>
      </c>
      <c r="J10" s="27">
        <f>364474+(2623105/720)</f>
        <v>368117.2013888889</v>
      </c>
      <c r="K10" s="27">
        <f>367107+(2623105/720)</f>
        <v>370750.2013888889</v>
      </c>
    </row>
    <row r="11" spans="1:11" ht="12.75">
      <c r="A11" s="13" t="s">
        <v>5</v>
      </c>
      <c r="B11" s="27">
        <f>331184+(2623105/720)</f>
        <v>334827.2013888889</v>
      </c>
      <c r="C11" s="27">
        <f>330966+(2623105/720)</f>
        <v>334609.2013888889</v>
      </c>
      <c r="D11" s="27">
        <f>323024+(2623105/720)</f>
        <v>326667.2013888889</v>
      </c>
      <c r="E11" s="27">
        <f>339814+(2623105/720)</f>
        <v>343457.2013888889</v>
      </c>
      <c r="F11" s="27">
        <f>323594+(2623105/720)</f>
        <v>327237.2013888889</v>
      </c>
      <c r="G11" s="27">
        <f>309042+(2623105/720)</f>
        <v>312685.2013888889</v>
      </c>
      <c r="H11" s="27">
        <f>337883+(2623105/720)</f>
        <v>341526.2013888889</v>
      </c>
      <c r="I11" s="27">
        <f>348457+(2623105/720)</f>
        <v>352100.2013888889</v>
      </c>
      <c r="J11" s="27">
        <f>356670+(2623105/720)</f>
        <v>360313.2013888889</v>
      </c>
      <c r="K11" s="27">
        <f>354680+(2623105/720)</f>
        <v>358323.2013888889</v>
      </c>
    </row>
    <row r="12" spans="1:11" ht="12.75">
      <c r="A12" s="13" t="s">
        <v>6</v>
      </c>
      <c r="B12" s="27">
        <f>325134+(2623105/720)</f>
        <v>328777.2013888889</v>
      </c>
      <c r="C12" s="27">
        <f>329088+(2623105/720)</f>
        <v>332731.2013888889</v>
      </c>
      <c r="D12" s="27">
        <f>320914+(2623105/720)</f>
        <v>324557.2013888889</v>
      </c>
      <c r="E12" s="27">
        <f>333199+(2623105/720)</f>
        <v>336842.2013888889</v>
      </c>
      <c r="F12" s="27">
        <f>318799+(2623105/720)</f>
        <v>322442.2013888889</v>
      </c>
      <c r="G12" s="27">
        <f>304028+(2623105/720)</f>
        <v>307671.2013888889</v>
      </c>
      <c r="H12" s="27">
        <f>335148+(2623105/720)</f>
        <v>338791.2013888889</v>
      </c>
      <c r="I12" s="27">
        <f>343948+(2623105/720)</f>
        <v>347591.2013888889</v>
      </c>
      <c r="J12" s="27">
        <f>351171+(2623105/720)</f>
        <v>354814.2013888889</v>
      </c>
      <c r="K12" s="27">
        <f>349071+(2623105/720)</f>
        <v>352714.2013888889</v>
      </c>
    </row>
    <row r="13" spans="1:11" ht="12.75">
      <c r="A13" s="13" t="s">
        <v>7</v>
      </c>
      <c r="B13" s="27">
        <f>324486+(2623105/720)</f>
        <v>328129.2013888889</v>
      </c>
      <c r="C13" s="27">
        <f>331405+(2623105/720)</f>
        <v>335048.2013888889</v>
      </c>
      <c r="D13" s="27">
        <f>322146+(2623105/720)</f>
        <v>325789.2013888889</v>
      </c>
      <c r="E13" s="27">
        <f>330385+(2623105/720)</f>
        <v>334028.2013888889</v>
      </c>
      <c r="F13" s="27">
        <f>316124+(2623105/720)</f>
        <v>319767.2013888889</v>
      </c>
      <c r="G13" s="27">
        <f>305535+(2623105/720)</f>
        <v>309178.2013888889</v>
      </c>
      <c r="H13" s="27">
        <f>335991+(2623105/720)</f>
        <v>339634.2013888889</v>
      </c>
      <c r="I13" s="27">
        <f>344323+(2623105/720)</f>
        <v>347966.2013888889</v>
      </c>
      <c r="J13" s="27">
        <f>351662+(2623105/720)</f>
        <v>355305.2013888889</v>
      </c>
      <c r="K13" s="27">
        <f>348906+(2623105/720)</f>
        <v>352549.2013888889</v>
      </c>
    </row>
    <row r="14" spans="1:11" ht="12.75">
      <c r="A14" s="13" t="s">
        <v>8</v>
      </c>
      <c r="B14" s="27">
        <f>338346+(2623105/720)</f>
        <v>341989.2013888889</v>
      </c>
      <c r="C14" s="27">
        <f>345194+(2623105/720)</f>
        <v>348837.2013888889</v>
      </c>
      <c r="D14" s="27">
        <f>335405+(2623105/720)</f>
        <v>339048.2013888889</v>
      </c>
      <c r="E14" s="27">
        <f>335876+(2623105/720)</f>
        <v>339519.2013888889</v>
      </c>
      <c r="F14" s="27">
        <f>320004+(2623105/720)</f>
        <v>323647.2013888889</v>
      </c>
      <c r="G14" s="27">
        <f>318787+(2623105/720)</f>
        <v>322430.2013888889</v>
      </c>
      <c r="H14" s="27">
        <f>348797+(2623105/720)</f>
        <v>352440.2013888889</v>
      </c>
      <c r="I14" s="27">
        <f>356661+(2623105/720)</f>
        <v>360304.2013888889</v>
      </c>
      <c r="J14" s="27">
        <f>366463+(2623105/720)</f>
        <v>370106.2013888889</v>
      </c>
      <c r="K14" s="27">
        <f>362590+(2623105/720)</f>
        <v>366233.2013888889</v>
      </c>
    </row>
    <row r="15" spans="1:11" ht="12.75">
      <c r="A15" s="13" t="s">
        <v>9</v>
      </c>
      <c r="B15" s="27">
        <f>366644+(2623105/720)</f>
        <v>370287.2013888889</v>
      </c>
      <c r="C15" s="27">
        <f>375788+(2623105/720)</f>
        <v>379431.2013888889</v>
      </c>
      <c r="D15" s="27">
        <f>364363+(2623105/720)</f>
        <v>368006.2013888889</v>
      </c>
      <c r="E15" s="27">
        <f>339541+(2623105/720)</f>
        <v>343184.2013888889</v>
      </c>
      <c r="F15" s="27">
        <f>321906+(2623105/720)</f>
        <v>325549.2013888889</v>
      </c>
      <c r="G15" s="27">
        <f>353341+(2623105/720)</f>
        <v>356984.2013888889</v>
      </c>
      <c r="H15" s="27">
        <f>382724+(2623105/720)</f>
        <v>386367.2013888889</v>
      </c>
      <c r="I15" s="27">
        <f>389707+(2623105/720)</f>
        <v>393350.2013888889</v>
      </c>
      <c r="J15" s="27">
        <f>402834+(2623105/720)</f>
        <v>406477.2013888889</v>
      </c>
      <c r="K15" s="27">
        <f>394418+(2623105/720)</f>
        <v>398061.2013888889</v>
      </c>
    </row>
    <row r="16" spans="1:11" ht="12.75">
      <c r="A16" s="13" t="s">
        <v>10</v>
      </c>
      <c r="B16" s="27">
        <f>416307+(2623105/720)</f>
        <v>419950.2013888889</v>
      </c>
      <c r="C16" s="27">
        <f>426538+(2623105/720)</f>
        <v>430181.2013888889</v>
      </c>
      <c r="D16" s="27">
        <f>410540+(2623105/720)</f>
        <v>414183.2013888889</v>
      </c>
      <c r="E16" s="27">
        <f>346531+(2623105/720)</f>
        <v>350174.2013888889</v>
      </c>
      <c r="F16" s="27">
        <f>324077+(2623105/720)</f>
        <v>327720.2013888889</v>
      </c>
      <c r="G16" s="27">
        <f>401865+(2623105/720)</f>
        <v>405508.2013888889</v>
      </c>
      <c r="H16" s="27">
        <f>423579+(2623105/720)</f>
        <v>427222.2013888889</v>
      </c>
      <c r="I16" s="27">
        <f>435921+(2623105/720)</f>
        <v>439564.2013888889</v>
      </c>
      <c r="J16" s="27">
        <f>449509+(2623105/720)</f>
        <v>453152.2013888889</v>
      </c>
      <c r="K16" s="27">
        <f>434369+(2623105/720)</f>
        <v>438012.2013888889</v>
      </c>
    </row>
    <row r="17" spans="1:11" ht="12.75">
      <c r="A17" s="13" t="s">
        <v>11</v>
      </c>
      <c r="B17" s="27">
        <f>488658+(2623105/720)</f>
        <v>492301.2013888889</v>
      </c>
      <c r="C17" s="27">
        <f>495109+(2623105/720)</f>
        <v>498752.2013888889</v>
      </c>
      <c r="D17" s="27">
        <f>474690+(2623105/720)</f>
        <v>478333.2013888889</v>
      </c>
      <c r="E17" s="27">
        <f>380967+(2623105/720)</f>
        <v>384610.2013888889</v>
      </c>
      <c r="F17" s="27">
        <f>341798+(2623105/720)</f>
        <v>345441.2013888889</v>
      </c>
      <c r="G17" s="27">
        <f>465009+(2623105/720)</f>
        <v>468652.2013888889</v>
      </c>
      <c r="H17" s="27">
        <f>482953+(2623105/720)</f>
        <v>486596.2013888889</v>
      </c>
      <c r="I17" s="27">
        <f>494609+(2623105/720)</f>
        <v>498252.2013888889</v>
      </c>
      <c r="J17" s="27">
        <f>509066+(2623105/720)</f>
        <v>512709.2013888889</v>
      </c>
      <c r="K17" s="27">
        <f>493333+(2623105/720)</f>
        <v>496976.2013888889</v>
      </c>
    </row>
    <row r="18" spans="1:11" ht="12.75">
      <c r="A18" s="13" t="s">
        <v>12</v>
      </c>
      <c r="B18" s="27">
        <f>523668+(2623105/720)</f>
        <v>527311.2013888889</v>
      </c>
      <c r="C18" s="27">
        <f>525668+(2623105/720)</f>
        <v>529311.2013888889</v>
      </c>
      <c r="D18" s="27">
        <f>502434+(2623105/720)</f>
        <v>506077.2013888889</v>
      </c>
      <c r="E18" s="27">
        <f>404754+(2623105/720)</f>
        <v>408397.2013888889</v>
      </c>
      <c r="F18" s="27">
        <f>360224+(2623105/720)</f>
        <v>363867.2013888889</v>
      </c>
      <c r="G18" s="27">
        <f>499147+(2623105/720)</f>
        <v>502790.2013888889</v>
      </c>
      <c r="H18" s="27">
        <f>506180+(2623105/720)</f>
        <v>509823.2013888889</v>
      </c>
      <c r="I18" s="27">
        <f>518998+(2623105/720)</f>
        <v>522641.2013888889</v>
      </c>
      <c r="J18" s="27">
        <f>533443+(2623105/720)</f>
        <v>537086.2013888889</v>
      </c>
      <c r="K18" s="27">
        <f>514851+(2623105/720)</f>
        <v>518494.2013888889</v>
      </c>
    </row>
    <row r="19" spans="1:11" ht="12.75">
      <c r="A19" s="13" t="s">
        <v>13</v>
      </c>
      <c r="B19" s="27">
        <f>535643+(2623105/720)</f>
        <v>539286.2013888889</v>
      </c>
      <c r="C19" s="27">
        <f>531120+(2623105/720)</f>
        <v>534763.2013888889</v>
      </c>
      <c r="D19" s="27">
        <f>510631+(2623105/720)</f>
        <v>514274.2013888889</v>
      </c>
      <c r="E19" s="27">
        <f>411783+(2623105/720)</f>
        <v>415426.2013888889</v>
      </c>
      <c r="F19" s="27">
        <f>369192+(2623105/720)</f>
        <v>372835.2013888889</v>
      </c>
      <c r="G19" s="27">
        <f>500924+(2623105/720)</f>
        <v>504567.2013888889</v>
      </c>
      <c r="H19" s="27">
        <f>508124+(2623105/720)</f>
        <v>511767.2013888889</v>
      </c>
      <c r="I19" s="27">
        <f>529327+(2623105/720)</f>
        <v>532970.2013888889</v>
      </c>
      <c r="J19" s="27">
        <f>535338+(2623105/720)</f>
        <v>538981.2013888889</v>
      </c>
      <c r="K19" s="27">
        <f>513812+(2623105/720)</f>
        <v>517455.2013888889</v>
      </c>
    </row>
    <row r="20" spans="1:11" ht="12.75">
      <c r="A20" s="13" t="s">
        <v>14</v>
      </c>
      <c r="B20" s="27">
        <f>531013+(2623105/720)</f>
        <v>534656.2013888889</v>
      </c>
      <c r="C20" s="27">
        <f>518163+(2623105/720)</f>
        <v>521806.2013888889</v>
      </c>
      <c r="D20" s="27">
        <f>502219+(2623105/720)</f>
        <v>505862.2013888889</v>
      </c>
      <c r="E20" s="27">
        <f>408086+(2623105/720)</f>
        <v>411729.2013888889</v>
      </c>
      <c r="F20" s="27">
        <f>364580+(2623105/720)</f>
        <v>368223.2013888889</v>
      </c>
      <c r="G20" s="27">
        <f>496024+(2623105/720)</f>
        <v>499667.2013888889</v>
      </c>
      <c r="H20" s="27">
        <f>495437+(2623105/720)</f>
        <v>499080.2013888889</v>
      </c>
      <c r="I20" s="27">
        <f>521612+(2623105/720)</f>
        <v>525255.2013888889</v>
      </c>
      <c r="J20" s="27">
        <f>525002+(2623105/720)</f>
        <v>528645.2013888889</v>
      </c>
      <c r="K20" s="27">
        <f>496147+(2623105/720)</f>
        <v>499790.2013888889</v>
      </c>
    </row>
    <row r="21" spans="1:11" ht="12.75">
      <c r="A21" s="13" t="s">
        <v>15</v>
      </c>
      <c r="B21" s="27">
        <f>507231+(2623105/720)</f>
        <v>510874.2013888889</v>
      </c>
      <c r="C21" s="27">
        <f>478207+(2623105/720)</f>
        <v>481850.2013888889</v>
      </c>
      <c r="D21" s="27">
        <f>482278+(2623105/720)</f>
        <v>485921.2013888889</v>
      </c>
      <c r="E21" s="27">
        <f>402537+(2623105/720)</f>
        <v>406180.2013888889</v>
      </c>
      <c r="F21" s="27">
        <f>355498+(2623105/720)</f>
        <v>359141.2013888889</v>
      </c>
      <c r="G21" s="27">
        <f>474648+(2623105/720)</f>
        <v>478291.2013888889</v>
      </c>
      <c r="H21" s="27">
        <f>473316+(2623105/720)</f>
        <v>476959.2013888889</v>
      </c>
      <c r="I21" s="27">
        <f>496838+(2623105/720)</f>
        <v>500481.2013888889</v>
      </c>
      <c r="J21" s="27">
        <f>499190+(2623105/720)</f>
        <v>502833.2013888889</v>
      </c>
      <c r="K21" s="27">
        <f>468649+(2623105/720)</f>
        <v>472292.2013888889</v>
      </c>
    </row>
    <row r="22" spans="1:11" ht="12.75">
      <c r="A22" s="13" t="s">
        <v>16</v>
      </c>
      <c r="B22" s="27">
        <f>514360+(2623105/720)</f>
        <v>518003.2013888889</v>
      </c>
      <c r="C22" s="27">
        <f>487490+(2623105/720)</f>
        <v>491133.2013888889</v>
      </c>
      <c r="D22" s="27">
        <f>493840+(2623105/720)</f>
        <v>497483.2013888889</v>
      </c>
      <c r="E22" s="27">
        <f>397349+(2623105/720)</f>
        <v>400992.2013888889</v>
      </c>
      <c r="F22" s="27">
        <f>351042+(2623105/720)</f>
        <v>354685.2013888889</v>
      </c>
      <c r="G22" s="27">
        <f>490571+(2623105/720)</f>
        <v>494214.2013888889</v>
      </c>
      <c r="H22" s="27">
        <f>486608+(2623105/720)</f>
        <v>490251.2013888889</v>
      </c>
      <c r="I22" s="27">
        <f>509296+(2623105/720)</f>
        <v>512939.2013888889</v>
      </c>
      <c r="J22" s="27">
        <f>507660+(2623105/720)</f>
        <v>511303.2013888889</v>
      </c>
      <c r="K22" s="27">
        <f>483079+(2623105/720)</f>
        <v>486722.2013888889</v>
      </c>
    </row>
    <row r="23" spans="1:11" ht="12.75">
      <c r="A23" s="13" t="s">
        <v>17</v>
      </c>
      <c r="B23" s="27">
        <f>508420+(2623105/720)</f>
        <v>512063.2013888889</v>
      </c>
      <c r="C23" s="27">
        <f>484965+(2623105/720)</f>
        <v>488608.2013888889</v>
      </c>
      <c r="D23" s="27">
        <f>487998+(2623105/720)</f>
        <v>491641.2013888889</v>
      </c>
      <c r="E23" s="27">
        <f>391967+(2623105/720)</f>
        <v>395610.2013888889</v>
      </c>
      <c r="F23" s="27">
        <f>346971+(2623105/720)</f>
        <v>350614.2013888889</v>
      </c>
      <c r="G23" s="27">
        <f>488849+(2623105/720)</f>
        <v>492492.2013888889</v>
      </c>
      <c r="H23" s="27">
        <f>489051+(2623105/720)</f>
        <v>492694.2013888889</v>
      </c>
      <c r="I23" s="27">
        <f>509188+(2623105/720)</f>
        <v>512831.2013888889</v>
      </c>
      <c r="J23" s="27">
        <f>506103+(2623105/720)</f>
        <v>509746.2013888889</v>
      </c>
      <c r="K23" s="27">
        <f>478291+(2623105/720)</f>
        <v>481934.2013888889</v>
      </c>
    </row>
    <row r="24" spans="1:11" ht="12.75">
      <c r="A24" s="13" t="s">
        <v>18</v>
      </c>
      <c r="B24" s="27">
        <f>493836+(2623105/720)</f>
        <v>497479.2013888889</v>
      </c>
      <c r="C24" s="27">
        <f>466750+(2623105/720)</f>
        <v>470393.2013888889</v>
      </c>
      <c r="D24" s="27">
        <f>476587+(2623105/720)</f>
        <v>480230.2013888889</v>
      </c>
      <c r="E24" s="27">
        <f>384757+(2623105/720)</f>
        <v>388400.2013888889</v>
      </c>
      <c r="F24" s="27">
        <f>346964+(2623105/720)</f>
        <v>350607.2013888889</v>
      </c>
      <c r="G24" s="27">
        <f>480539+(2623105/720)</f>
        <v>484182.2013888889</v>
      </c>
      <c r="H24" s="27">
        <f>480100+(2623105/720)</f>
        <v>483743.2013888889</v>
      </c>
      <c r="I24" s="27">
        <f>498496+(2623105/720)</f>
        <v>502139.2013888889</v>
      </c>
      <c r="J24" s="27">
        <f>489006+(2623105/720)</f>
        <v>492649.2013888889</v>
      </c>
      <c r="K24" s="27">
        <f>462404+(2623105/720)</f>
        <v>466047.2013888889</v>
      </c>
    </row>
    <row r="25" spans="1:11" ht="12.75">
      <c r="A25" s="13" t="s">
        <v>19</v>
      </c>
      <c r="B25" s="27">
        <f>470293+(2623105/720)</f>
        <v>473936.2013888889</v>
      </c>
      <c r="C25" s="27">
        <f>447456+(2623105/720)</f>
        <v>451099.2013888889</v>
      </c>
      <c r="D25" s="27">
        <f>458065+(2623105/720)</f>
        <v>461708.2013888889</v>
      </c>
      <c r="E25" s="27">
        <f>379182+(2623105/720)</f>
        <v>382825.2013888889</v>
      </c>
      <c r="F25" s="27">
        <f>347922+(2623105/720)</f>
        <v>351565.2013888889</v>
      </c>
      <c r="G25" s="27">
        <f>454998+(2623105/720)</f>
        <v>458641.2013888889</v>
      </c>
      <c r="H25" s="27">
        <f>465427+(2623105/720)</f>
        <v>469070.2013888889</v>
      </c>
      <c r="I25" s="27">
        <f>477879+(2623105/720)</f>
        <v>481522.2013888889</v>
      </c>
      <c r="J25" s="27">
        <f>464672+(2623105/720)</f>
        <v>468315.2013888889</v>
      </c>
      <c r="K25" s="27">
        <f>440969+(2623105/720)</f>
        <v>444612.2013888889</v>
      </c>
    </row>
    <row r="26" spans="1:11" ht="12.75">
      <c r="A26" s="13" t="s">
        <v>20</v>
      </c>
      <c r="B26" s="27">
        <f>455522+(2623105/720)</f>
        <v>459165.2013888889</v>
      </c>
      <c r="C26" s="27">
        <f>440473+(2623105/720)</f>
        <v>444116.2013888889</v>
      </c>
      <c r="D26" s="27">
        <f>439947+(2623105/720)</f>
        <v>443590.2013888889</v>
      </c>
      <c r="E26" s="27">
        <f>376593+(2623105/720)</f>
        <v>380236.2013888889</v>
      </c>
      <c r="F26" s="27">
        <f>353006+(2623105/720)</f>
        <v>356649.2013888889</v>
      </c>
      <c r="G26" s="27">
        <f>436378+(2623105/720)</f>
        <v>440021.2013888889</v>
      </c>
      <c r="H26" s="27">
        <f>456009+(2623105/720)</f>
        <v>459652.2013888889</v>
      </c>
      <c r="I26" s="27">
        <f>463826+(2623105/720)</f>
        <v>467469.2013888889</v>
      </c>
      <c r="J26" s="27">
        <f>445365+(2623105/720)</f>
        <v>449008.2013888889</v>
      </c>
      <c r="K26" s="27">
        <f>428899+(2623105/720)</f>
        <v>432542.2013888889</v>
      </c>
    </row>
    <row r="27" spans="1:11" ht="12.75">
      <c r="A27" s="13" t="s">
        <v>21</v>
      </c>
      <c r="B27" s="27">
        <f>455854+(2623105/720)</f>
        <v>459497.2013888889</v>
      </c>
      <c r="C27" s="27">
        <f>440251+(2623105/720)</f>
        <v>443894.2013888889</v>
      </c>
      <c r="D27" s="27">
        <f>437010+(2623105/720)</f>
        <v>440653.2013888889</v>
      </c>
      <c r="E27" s="27">
        <f>373336+(2623105/720)</f>
        <v>376979.2013888889</v>
      </c>
      <c r="F27" s="27">
        <f>358067+(2623105/720)</f>
        <v>361710.2013888889</v>
      </c>
      <c r="G27" s="27">
        <f>432068+(2623105/720)</f>
        <v>435711.2013888889</v>
      </c>
      <c r="H27" s="27">
        <f>460782+(2623105/720)</f>
        <v>464425.2013888889</v>
      </c>
      <c r="I27" s="27">
        <f>464422+(2623105/720)</f>
        <v>468065.2013888889</v>
      </c>
      <c r="J27" s="27">
        <f>445677+(2623105/720)</f>
        <v>449320.2013888889</v>
      </c>
      <c r="K27" s="27">
        <f>425302+(2623105/720)</f>
        <v>428945.2013888889</v>
      </c>
    </row>
    <row r="28" spans="1:11" ht="12.75">
      <c r="A28" s="13" t="s">
        <v>22</v>
      </c>
      <c r="B28" s="27">
        <f>459578+(2623105/720)</f>
        <v>463221.2013888889</v>
      </c>
      <c r="C28" s="27">
        <f>429471+(2623105/720)</f>
        <v>433114.2013888889</v>
      </c>
      <c r="D28" s="27">
        <f>436364+(2623105/720)</f>
        <v>440007.2013888889</v>
      </c>
      <c r="E28" s="27">
        <f>374729+(2623105/720)</f>
        <v>378372.2013888889</v>
      </c>
      <c r="F28" s="27">
        <f>365479+(2623105/720)</f>
        <v>369122.2013888889</v>
      </c>
      <c r="G28" s="27">
        <f>436545+(2623105/720)</f>
        <v>440188.2013888889</v>
      </c>
      <c r="H28" s="27">
        <f>467438+(2623105/720)</f>
        <v>471081.2013888889</v>
      </c>
      <c r="I28" s="27">
        <f>473421+(2623105/720)</f>
        <v>477064.2013888889</v>
      </c>
      <c r="J28" s="27">
        <f>450067+(2623105/720)</f>
        <v>453710.2013888889</v>
      </c>
      <c r="K28" s="27">
        <f>432992+(2623105/720)</f>
        <v>436635.2013888889</v>
      </c>
    </row>
    <row r="29" spans="1:11" ht="12.75">
      <c r="A29" s="13" t="s">
        <v>23</v>
      </c>
      <c r="B29" s="27">
        <f>489395+(2623105/720)</f>
        <v>493038.2013888889</v>
      </c>
      <c r="C29" s="27">
        <f>453222+(2623105/720)</f>
        <v>456865.2013888889</v>
      </c>
      <c r="D29" s="27">
        <f>468590+(2623105/720)</f>
        <v>472233.2013888889</v>
      </c>
      <c r="E29" s="27">
        <f>412991+(2623105/720)</f>
        <v>416634.2013888889</v>
      </c>
      <c r="F29" s="27">
        <f>408477+(2623105/720)</f>
        <v>412120.2013888889</v>
      </c>
      <c r="G29" s="27">
        <f>471946+(2623105/720)</f>
        <v>475589.2013888889</v>
      </c>
      <c r="H29" s="27">
        <f>495338+(2623105/720)</f>
        <v>498981.2013888889</v>
      </c>
      <c r="I29" s="27">
        <f>506311+(2623105/720)</f>
        <v>509954.2013888889</v>
      </c>
      <c r="J29" s="27">
        <f>492805+(2623105/720)</f>
        <v>496448.2013888889</v>
      </c>
      <c r="K29" s="27">
        <f>485936+(2623105/720)</f>
        <v>489579.2013888889</v>
      </c>
    </row>
    <row r="30" spans="1:11" ht="12.75">
      <c r="A30" s="13" t="s">
        <v>24</v>
      </c>
      <c r="B30" s="27">
        <f>499152+(2623105/720)</f>
        <v>502795.2013888889</v>
      </c>
      <c r="C30" s="27">
        <f>480005+(2623105/720)</f>
        <v>483648.2013888889</v>
      </c>
      <c r="D30" s="27">
        <f>495969+(2623105/720)</f>
        <v>499612.2013888889</v>
      </c>
      <c r="E30" s="27">
        <f>452094+(2623105/720)</f>
        <v>455737.2013888889</v>
      </c>
      <c r="F30" s="27">
        <f>440909+(2623105/720)</f>
        <v>444552.2013888889</v>
      </c>
      <c r="G30" s="27">
        <f>495573+(2623105/720)</f>
        <v>499216.2013888889</v>
      </c>
      <c r="H30" s="27">
        <f>507136+(2623105/720)</f>
        <v>510779.2013888889</v>
      </c>
      <c r="I30" s="27">
        <f>518145+(2623105/720)</f>
        <v>521788.2013888889</v>
      </c>
      <c r="J30" s="27">
        <f>518790+(2623105/720)</f>
        <v>522433.2013888889</v>
      </c>
      <c r="K30" s="27">
        <f>505628+(2623105/720)</f>
        <v>509271.2013888889</v>
      </c>
    </row>
    <row r="31" spans="1:11" ht="12.75">
      <c r="A31" s="13" t="s">
        <v>25</v>
      </c>
      <c r="B31" s="27">
        <f>459518+(2623105/720)</f>
        <v>463161.2013888889</v>
      </c>
      <c r="C31" s="27">
        <f>449371+(2623105/720)</f>
        <v>453014.2013888889</v>
      </c>
      <c r="D31" s="27">
        <f>463270+(2623105/720)</f>
        <v>466913.2013888889</v>
      </c>
      <c r="E31" s="27">
        <f>430194+(2623105/720)</f>
        <v>433837.2013888889</v>
      </c>
      <c r="F31" s="27">
        <f>411923+(2623105/720)</f>
        <v>415566.2013888889</v>
      </c>
      <c r="G31" s="27">
        <f>462282+(2623105/720)</f>
        <v>465925.2013888889</v>
      </c>
      <c r="H31" s="27">
        <f>466749+(2623105/720)</f>
        <v>470392.2013888889</v>
      </c>
      <c r="I31" s="27">
        <f>477089+(2623105/720)</f>
        <v>480732.2013888889</v>
      </c>
      <c r="J31" s="27">
        <f>484322+(2623105/720)</f>
        <v>487965.2013888889</v>
      </c>
      <c r="K31" s="27">
        <f>474939+(2623105/720)</f>
        <v>478582.2013888889</v>
      </c>
    </row>
    <row r="32" spans="1:11" ht="13.5" thickBot="1">
      <c r="A32" s="14" t="s">
        <v>26</v>
      </c>
      <c r="B32">
        <f>410677+(2623105/720)</f>
        <v>414320.2013888889</v>
      </c>
      <c r="C32">
        <f>396879+(2623105/720)</f>
        <v>400522.2013888889</v>
      </c>
      <c r="D32">
        <f>415413+(2623105/720)</f>
        <v>419056.2013888889</v>
      </c>
      <c r="E32">
        <f>389839+(2623105/720)</f>
        <v>393482.2013888889</v>
      </c>
      <c r="F32">
        <f>371142+(2623105/720)</f>
        <v>374785.2013888889</v>
      </c>
      <c r="G32">
        <f>416434+(2623105/720)</f>
        <v>420077.2013888889</v>
      </c>
      <c r="H32">
        <f>422421+(2623105/720)</f>
        <v>426064.2013888889</v>
      </c>
      <c r="I32">
        <f>431876+(2623105/720)</f>
        <v>435519.2013888889</v>
      </c>
      <c r="J32">
        <f>436738+(2623105/720)</f>
        <v>440381.2013888889</v>
      </c>
      <c r="K32">
        <f>435904+(2623105/720)</f>
        <v>439547.2013888889</v>
      </c>
    </row>
    <row r="33" spans="1:11" ht="13.5" thickBot="1">
      <c r="A33" s="15" t="s">
        <v>27</v>
      </c>
      <c r="B33" s="16">
        <f>SUM(B9:B32)</f>
        <v>10697298.83333333</v>
      </c>
      <c r="C33" s="16">
        <f aca="true" t="shared" si="0" ref="C33:K33">SUM(C9:C32)</f>
        <v>10454619.83333333</v>
      </c>
      <c r="D33" s="16">
        <f t="shared" si="0"/>
        <v>10396318.83333333</v>
      </c>
      <c r="E33" s="16">
        <f t="shared" si="0"/>
        <v>9211104.833333334</v>
      </c>
      <c r="F33" s="16">
        <f t="shared" si="0"/>
        <v>8591653.833333334</v>
      </c>
      <c r="G33" s="16">
        <f t="shared" si="0"/>
        <v>10232926.833333332</v>
      </c>
      <c r="H33" s="16">
        <f t="shared" si="0"/>
        <v>10631534.83333333</v>
      </c>
      <c r="I33" s="16">
        <f t="shared" si="0"/>
        <v>10934463.83333333</v>
      </c>
      <c r="J33" s="16">
        <f t="shared" si="0"/>
        <v>10960032.83333333</v>
      </c>
      <c r="K33" s="16">
        <f t="shared" si="0"/>
        <v>10630987.83333333</v>
      </c>
    </row>
    <row r="37" ht="13.5" thickBot="1"/>
    <row r="38" spans="1:11" ht="12.75">
      <c r="A38" s="36" t="s">
        <v>1</v>
      </c>
      <c r="B38" s="38" t="s">
        <v>2</v>
      </c>
      <c r="C38" s="39"/>
      <c r="D38" s="39"/>
      <c r="E38" s="39"/>
      <c r="F38" s="39"/>
      <c r="G38" s="39"/>
      <c r="H38" s="39"/>
      <c r="I38" s="39"/>
      <c r="J38" s="39"/>
      <c r="K38" s="40"/>
    </row>
    <row r="39" spans="1:11" ht="13.5" thickBot="1">
      <c r="A39" s="37"/>
      <c r="B39" s="10">
        <v>11</v>
      </c>
      <c r="C39" s="10">
        <v>12</v>
      </c>
      <c r="D39" s="10">
        <v>13</v>
      </c>
      <c r="E39" s="10">
        <v>14</v>
      </c>
      <c r="F39" s="10">
        <v>15</v>
      </c>
      <c r="G39" s="10">
        <v>16</v>
      </c>
      <c r="H39" s="10">
        <v>17</v>
      </c>
      <c r="I39" s="10">
        <v>18</v>
      </c>
      <c r="J39" s="10">
        <v>19</v>
      </c>
      <c r="K39" s="11">
        <v>20</v>
      </c>
    </row>
    <row r="40" spans="1:11" ht="12.75">
      <c r="A40" s="12" t="s">
        <v>3</v>
      </c>
      <c r="B40" s="27">
        <f>391428+(2623105/720)</f>
        <v>395071.2013888889</v>
      </c>
      <c r="C40" s="27">
        <f>360301+(2623105/720)</f>
        <v>363944.2013888889</v>
      </c>
      <c r="D40" s="27">
        <f>347349+(2623105/720)</f>
        <v>350992.2013888889</v>
      </c>
      <c r="E40" s="27">
        <f>371494+(2623105/720)</f>
        <v>375137.2013888889</v>
      </c>
      <c r="F40" s="27">
        <f>370284+(2623105/720)</f>
        <v>373927.2013888889</v>
      </c>
      <c r="G40" s="27">
        <f>364718+(2623105/720)</f>
        <v>368361.2013888889</v>
      </c>
      <c r="H40" s="27">
        <f>372510+(2623105/720)</f>
        <v>376153.2013888889</v>
      </c>
      <c r="I40" s="27">
        <f>375422+(2623105/720)</f>
        <v>379065.2013888889</v>
      </c>
      <c r="J40" s="27">
        <f>362430+(2623105/720)</f>
        <v>366073.2013888889</v>
      </c>
      <c r="K40" s="27">
        <f>348232+(2623105/720)</f>
        <v>351875.2013888889</v>
      </c>
    </row>
    <row r="41" spans="1:11" ht="12.75">
      <c r="A41" s="13" t="s">
        <v>4</v>
      </c>
      <c r="B41" s="27">
        <f>366042+(2623105/720)</f>
        <v>369685.2013888889</v>
      </c>
      <c r="C41" s="27">
        <f>337808+(2623105/720)</f>
        <v>341451.2013888889</v>
      </c>
      <c r="D41" s="27">
        <f>328882+(2623105/720)</f>
        <v>332525.2013888889</v>
      </c>
      <c r="E41" s="27">
        <f>350358+(2623105/720)</f>
        <v>354001.2013888889</v>
      </c>
      <c r="F41" s="27">
        <f>345131+(2623105/720)</f>
        <v>348774.2013888889</v>
      </c>
      <c r="G41" s="27">
        <f>342855+(2623105/720)</f>
        <v>346498.2013888889</v>
      </c>
      <c r="H41" s="27">
        <f>351286+(2623105/720)</f>
        <v>354929.2013888889</v>
      </c>
      <c r="I41" s="27">
        <f>347783+(2623105/720)</f>
        <v>351426.2013888889</v>
      </c>
      <c r="J41" s="27">
        <f>337054+(2623105/720)</f>
        <v>340697.2013888889</v>
      </c>
      <c r="K41" s="27">
        <f>328840+(2623105/720)</f>
        <v>332483.2013888889</v>
      </c>
    </row>
    <row r="42" spans="1:11" ht="12.75">
      <c r="A42" s="13" t="s">
        <v>5</v>
      </c>
      <c r="B42" s="27">
        <f>354461+(2623105/720)</f>
        <v>358104.2013888889</v>
      </c>
      <c r="C42" s="27">
        <f>330672+(2623105/720)</f>
        <v>334315.2013888889</v>
      </c>
      <c r="D42" s="27">
        <f>319339+(2623105/720)</f>
        <v>322982.2013888889</v>
      </c>
      <c r="E42" s="27">
        <f>341700+(2623105/720)</f>
        <v>345343.2013888889</v>
      </c>
      <c r="F42" s="27">
        <f>336087+(2623105/720)</f>
        <v>339730.2013888889</v>
      </c>
      <c r="G42" s="27">
        <f>334761+(2623105/720)</f>
        <v>338404.2013888889</v>
      </c>
      <c r="H42" s="27">
        <f>341970+(2623105/720)</f>
        <v>345613.2013888889</v>
      </c>
      <c r="I42" s="27">
        <f>336073+(2623105/720)</f>
        <v>339716.2013888889</v>
      </c>
      <c r="J42" s="27">
        <f>326662+(2623105/720)</f>
        <v>330305.2013888889</v>
      </c>
      <c r="K42" s="27">
        <f>320424+(2623105/720)</f>
        <v>324067.2013888889</v>
      </c>
    </row>
    <row r="43" spans="1:11" ht="12.75">
      <c r="A43" s="13" t="s">
        <v>6</v>
      </c>
      <c r="B43" s="27">
        <f>347687+(2623105/720)</f>
        <v>351330.2013888889</v>
      </c>
      <c r="C43" s="27">
        <f>325859+(2623105/720)</f>
        <v>329502.2013888889</v>
      </c>
      <c r="D43" s="27">
        <f>315956+(2623105/720)</f>
        <v>319599.2013888889</v>
      </c>
      <c r="E43" s="27">
        <f>337234+(2623105/720)</f>
        <v>340877.2013888889</v>
      </c>
      <c r="F43" s="27">
        <f>331714+(2623105/720)</f>
        <v>335357.2013888889</v>
      </c>
      <c r="G43" s="27">
        <f>329902+(2623105/720)</f>
        <v>333545.2013888889</v>
      </c>
      <c r="H43" s="27">
        <f>336901+(2623105/720)</f>
        <v>340544.2013888889</v>
      </c>
      <c r="I43" s="27">
        <f>329452+(2623105/720)</f>
        <v>333095.2013888889</v>
      </c>
      <c r="J43" s="27">
        <f>320115+(2623105/720)</f>
        <v>323758.2013888889</v>
      </c>
      <c r="K43" s="27">
        <f>318237+(2623105/720)</f>
        <v>321880.2013888889</v>
      </c>
    </row>
    <row r="44" spans="1:11" ht="12.75">
      <c r="A44" s="13" t="s">
        <v>7</v>
      </c>
      <c r="B44" s="27">
        <f>344387+(2623105/720)</f>
        <v>348030.2013888889</v>
      </c>
      <c r="C44" s="27">
        <f>323536+(2623105/720)</f>
        <v>327179.2013888889</v>
      </c>
      <c r="D44" s="27">
        <f>314981+(2623105/720)</f>
        <v>318624.2013888889</v>
      </c>
      <c r="E44" s="27">
        <f>336535+(2623105/720)</f>
        <v>340178.2013888889</v>
      </c>
      <c r="F44" s="27">
        <f>330130+(2623105/720)</f>
        <v>333773.2013888889</v>
      </c>
      <c r="G44" s="27">
        <f>327714+(2623105/720)</f>
        <v>331357.2013888889</v>
      </c>
      <c r="H44" s="27">
        <f>334659+(2623105/720)</f>
        <v>338302.2013888889</v>
      </c>
      <c r="I44" s="27">
        <f>328420+(2623105/720)</f>
        <v>332063.2013888889</v>
      </c>
      <c r="J44" s="27">
        <f>318093+(2623105/720)</f>
        <v>321736.2013888889</v>
      </c>
      <c r="K44" s="27">
        <f>319122+(2623105/720)</f>
        <v>322765.2013888889</v>
      </c>
    </row>
    <row r="45" spans="1:11" ht="12.75">
      <c r="A45" s="13" t="s">
        <v>8</v>
      </c>
      <c r="B45" s="27">
        <f>349450+(2623105/720)</f>
        <v>353093.2013888889</v>
      </c>
      <c r="C45" s="27">
        <f>326830+(2623105/720)</f>
        <v>330473.2013888889</v>
      </c>
      <c r="D45" s="27">
        <f>329167+(2623105/720)</f>
        <v>332810.2013888889</v>
      </c>
      <c r="E45" s="27">
        <f>350499+(2623105/720)</f>
        <v>354142.2013888889</v>
      </c>
      <c r="F45" s="27">
        <f>343021+(2623105/720)</f>
        <v>346664.2013888889</v>
      </c>
      <c r="G45" s="27">
        <f>339128+(2623105/720)</f>
        <v>342771.2013888889</v>
      </c>
      <c r="H45" s="27">
        <f>347356+(2623105/720)</f>
        <v>350999.2013888889</v>
      </c>
      <c r="I45" s="27">
        <f>334165+(2623105/720)</f>
        <v>337808.2013888889</v>
      </c>
      <c r="J45" s="27">
        <f>321240+(2623105/720)</f>
        <v>324883.2013888889</v>
      </c>
      <c r="K45" s="27">
        <f>334023+(2623105/720)</f>
        <v>337666.2013888889</v>
      </c>
    </row>
    <row r="46" spans="1:11" ht="12.75">
      <c r="A46" s="13" t="s">
        <v>9</v>
      </c>
      <c r="B46" s="27">
        <f>359991+(2623105/720)</f>
        <v>363634.2013888889</v>
      </c>
      <c r="C46" s="27">
        <f>335920+(2623105/720)</f>
        <v>339563.2013888889</v>
      </c>
      <c r="D46" s="27">
        <f>366709+(2623105/720)</f>
        <v>370352.2013888889</v>
      </c>
      <c r="E46" s="27">
        <f>386390+(2623105/720)</f>
        <v>390033.2013888889</v>
      </c>
      <c r="F46" s="27">
        <f>381682+(2623105/720)</f>
        <v>385325.2013888889</v>
      </c>
      <c r="G46" s="27">
        <f>376628+(2623105/720)</f>
        <v>380271.2013888889</v>
      </c>
      <c r="H46" s="27">
        <f>384035+(2623105/720)</f>
        <v>387678.2013888889</v>
      </c>
      <c r="I46" s="27">
        <f>350421+(2623105/720)</f>
        <v>354064.2013888889</v>
      </c>
      <c r="J46" s="27">
        <f>332651+(2623105/720)</f>
        <v>336294.2013888889</v>
      </c>
      <c r="K46" s="27">
        <f>377359+(2623105/720)</f>
        <v>381002.2013888889</v>
      </c>
    </row>
    <row r="47" spans="1:11" ht="12.75">
      <c r="A47" s="13" t="s">
        <v>10</v>
      </c>
      <c r="B47" s="27">
        <f>369175+(2623105/720)</f>
        <v>372818.2013888889</v>
      </c>
      <c r="C47" s="27">
        <f>336191+(2623105/720)</f>
        <v>339834.2013888889</v>
      </c>
      <c r="D47" s="27">
        <f>417321+(2623105/720)</f>
        <v>420964.2013888889</v>
      </c>
      <c r="E47" s="27">
        <f>433448+(2623105/720)</f>
        <v>437091.2013888889</v>
      </c>
      <c r="F47" s="27">
        <f>428600+(2623105/720)</f>
        <v>432243.2013888889</v>
      </c>
      <c r="G47" s="27">
        <f>424652+(2623105/720)</f>
        <v>428295.2013888889</v>
      </c>
      <c r="H47" s="27">
        <f>430058+(2623105/720)</f>
        <v>433701.2013888889</v>
      </c>
      <c r="I47" s="27">
        <f>368677+(2623105/720)</f>
        <v>372320.2013888889</v>
      </c>
      <c r="J47" s="27">
        <f>335517+(2623105/720)</f>
        <v>339160.2013888889</v>
      </c>
      <c r="K47" s="27">
        <f>423876+(2623105/720)</f>
        <v>427519.2013888889</v>
      </c>
    </row>
    <row r="48" spans="1:11" ht="12.75">
      <c r="A48" s="13" t="s">
        <v>11</v>
      </c>
      <c r="B48" s="27">
        <f>399120+(2623105/720)</f>
        <v>402763.2013888889</v>
      </c>
      <c r="C48" s="27">
        <f>358623+(2623105/720)</f>
        <v>362266.2013888889</v>
      </c>
      <c r="D48" s="27">
        <f>485453+(2623105/720)</f>
        <v>489096.2013888889</v>
      </c>
      <c r="E48" s="27">
        <f>497843+(2623105/720)</f>
        <v>501486.2013888889</v>
      </c>
      <c r="F48" s="27">
        <f>486034+(2623105/720)</f>
        <v>489677.2013888889</v>
      </c>
      <c r="G48" s="27">
        <f>480196+(2623105/720)</f>
        <v>483839.2013888889</v>
      </c>
      <c r="H48" s="27">
        <f>490192+(2623105/720)</f>
        <v>493835.2013888889</v>
      </c>
      <c r="I48" s="27">
        <f>406451+(2623105/720)</f>
        <v>410094.2013888889</v>
      </c>
      <c r="J48" s="27">
        <f>358145+(2623105/720)</f>
        <v>361788.2013888889</v>
      </c>
      <c r="K48" s="27">
        <f>484068+(2623105/720)</f>
        <v>487711.2013888889</v>
      </c>
    </row>
    <row r="49" spans="1:11" ht="12.75">
      <c r="A49" s="13" t="s">
        <v>12</v>
      </c>
      <c r="B49" s="27">
        <f>413284+(2623105/720)</f>
        <v>416927.2013888889</v>
      </c>
      <c r="C49" s="27">
        <f>384271+(2623105/720)</f>
        <v>387914.2013888889</v>
      </c>
      <c r="D49" s="27">
        <f>514584+(2623105/720)</f>
        <v>518227.2013888889</v>
      </c>
      <c r="E49" s="27">
        <f>524870+(2623105/720)</f>
        <v>528513.2013888889</v>
      </c>
      <c r="F49" s="27">
        <f>504598+(2623105/720)</f>
        <v>508241.2013888889</v>
      </c>
      <c r="G49" s="27">
        <f>508111+(2623105/720)</f>
        <v>511754.2013888889</v>
      </c>
      <c r="H49" s="27">
        <f>509348+(2623105/720)</f>
        <v>512991.2013888889</v>
      </c>
      <c r="I49" s="27">
        <f>432894+(2623105/720)</f>
        <v>436537.2013888889</v>
      </c>
      <c r="J49" s="27">
        <f>381256+(2623105/720)</f>
        <v>384899.2013888889</v>
      </c>
      <c r="K49" s="27">
        <f>519873+(2623105/720)</f>
        <v>523516.2013888889</v>
      </c>
    </row>
    <row r="50" spans="1:11" ht="12.75">
      <c r="A50" s="13" t="s">
        <v>13</v>
      </c>
      <c r="B50" s="27">
        <f>414497+(2623105/720)</f>
        <v>418140.2013888889</v>
      </c>
      <c r="C50" s="27">
        <f>398141+(2623105/720)</f>
        <v>401784.2013888889</v>
      </c>
      <c r="D50" s="27">
        <f>520235+(2623105/720)</f>
        <v>523878.2013888889</v>
      </c>
      <c r="E50" s="27">
        <f>529024+(2623105/720)</f>
        <v>532667.2013888889</v>
      </c>
      <c r="F50" s="27">
        <f>514663+(2623105/720)</f>
        <v>518306.2013888889</v>
      </c>
      <c r="G50" s="27">
        <f>514358+(2623105/720)</f>
        <v>518001.2013888889</v>
      </c>
      <c r="H50" s="27">
        <f>508984+(2623105/720)</f>
        <v>512627.2013888889</v>
      </c>
      <c r="I50" s="27">
        <f>441889+(2623105/720)</f>
        <v>445532.2013888889</v>
      </c>
      <c r="J50" s="27">
        <f>389546+(2623105/720)</f>
        <v>393189.2013888889</v>
      </c>
      <c r="K50" s="27">
        <f>524816+(2623105/720)</f>
        <v>528459.2013888889</v>
      </c>
    </row>
    <row r="51" spans="1:11" ht="12.75">
      <c r="A51" s="13" t="s">
        <v>14</v>
      </c>
      <c r="B51" s="27">
        <f>405284+(2623105/720)</f>
        <v>408927.2013888889</v>
      </c>
      <c r="C51" s="27">
        <f>392865+(2623105/720)</f>
        <v>396508.2013888889</v>
      </c>
      <c r="D51" s="27">
        <f>508986+(2623105/720)</f>
        <v>512629.2013888889</v>
      </c>
      <c r="E51" s="27">
        <f>515020+(2623105/720)</f>
        <v>518663.2013888889</v>
      </c>
      <c r="F51" s="27">
        <f>498223+(2623105/720)</f>
        <v>501866.2013888889</v>
      </c>
      <c r="G51" s="27">
        <f>500084+(2623105/720)</f>
        <v>503727.2013888889</v>
      </c>
      <c r="H51" s="27">
        <f>490686+(2623105/720)</f>
        <v>494329.2013888889</v>
      </c>
      <c r="I51" s="27">
        <f>434700+(2623105/720)</f>
        <v>438343.2013888889</v>
      </c>
      <c r="J51" s="27">
        <f>384244+(2623105/720)</f>
        <v>387887.2013888889</v>
      </c>
      <c r="K51" s="27">
        <f>512774+(2623105/720)</f>
        <v>516417.2013888889</v>
      </c>
    </row>
    <row r="52" spans="1:11" ht="12.75">
      <c r="A52" s="13" t="s">
        <v>15</v>
      </c>
      <c r="B52" s="27">
        <f>396668+(2623105/720)</f>
        <v>400311.2013888889</v>
      </c>
      <c r="C52" s="27">
        <f>381019+(2623105/720)</f>
        <v>384662.2013888889</v>
      </c>
      <c r="D52" s="27">
        <f>480546+(2623105/720)</f>
        <v>484189.2013888889</v>
      </c>
      <c r="E52" s="27">
        <f>485592+(2623105/720)</f>
        <v>489235.2013888889</v>
      </c>
      <c r="F52" s="27">
        <f>474726+(2623105/720)</f>
        <v>478369.2013888889</v>
      </c>
      <c r="G52" s="27">
        <f>474907+(2623105/720)</f>
        <v>478550.2013888889</v>
      </c>
      <c r="H52" s="27">
        <f>466861+(2623105/720)</f>
        <v>470504.2013888889</v>
      </c>
      <c r="I52" s="27">
        <f>418157+(2623105/720)</f>
        <v>421800.2013888889</v>
      </c>
      <c r="J52" s="27">
        <f>380941+(2623105/720)</f>
        <v>384584.2013888889</v>
      </c>
      <c r="K52" s="27">
        <f>484913+(2623105/720)</f>
        <v>488556.2013888889</v>
      </c>
    </row>
    <row r="53" spans="1:11" ht="12.75">
      <c r="A53" s="13" t="s">
        <v>16</v>
      </c>
      <c r="B53" s="27">
        <f>395446+(2623105/720)</f>
        <v>399089.2013888889</v>
      </c>
      <c r="C53" s="27">
        <f>376164+(2623105/720)</f>
        <v>379807.2013888889</v>
      </c>
      <c r="D53" s="27">
        <f>497596+(2623105/720)</f>
        <v>501239.2013888889</v>
      </c>
      <c r="E53" s="27">
        <f>498613+(2623105/720)</f>
        <v>502256.2013888889</v>
      </c>
      <c r="F53" s="27">
        <f>489926+(2623105/720)</f>
        <v>493569.2013888889</v>
      </c>
      <c r="G53" s="27">
        <f>491054+(2623105/720)</f>
        <v>494697.2013888889</v>
      </c>
      <c r="H53" s="27">
        <f>475335+(2623105/720)</f>
        <v>478978.2013888889</v>
      </c>
      <c r="I53" s="27">
        <f>411021+(2623105/720)</f>
        <v>414664.2013888889</v>
      </c>
      <c r="J53" s="27">
        <f>374073+(2623105/720)</f>
        <v>377716.2013888889</v>
      </c>
      <c r="K53" s="27">
        <f>493280+(2623105/720)</f>
        <v>496923.2013888889</v>
      </c>
    </row>
    <row r="54" spans="1:11" ht="12.75">
      <c r="A54" s="13" t="s">
        <v>17</v>
      </c>
      <c r="B54" s="27">
        <f>388203+(2623105/720)</f>
        <v>391846.2013888889</v>
      </c>
      <c r="C54" s="27">
        <f>371723+(2623105/720)</f>
        <v>375366.2013888889</v>
      </c>
      <c r="D54" s="27">
        <f>494623+(2623105/720)</f>
        <v>498266.2013888889</v>
      </c>
      <c r="E54" s="27">
        <f>497266+(2623105/720)</f>
        <v>500909.2013888889</v>
      </c>
      <c r="F54" s="27">
        <f>485390+(2623105/720)</f>
        <v>489033.2013888889</v>
      </c>
      <c r="G54" s="27">
        <f>493881+(2623105/720)</f>
        <v>497524.2013888889</v>
      </c>
      <c r="H54" s="27">
        <f>469978+(2623105/720)</f>
        <v>473621.2013888889</v>
      </c>
      <c r="I54" s="27">
        <f>404632+(2623105/720)</f>
        <v>408275.2013888889</v>
      </c>
      <c r="J54" s="27">
        <f>369421+(2623105/720)</f>
        <v>373064.2013888889</v>
      </c>
      <c r="K54" s="27">
        <f>492589+(2623105/720)</f>
        <v>496232.2013888889</v>
      </c>
    </row>
    <row r="55" spans="1:11" ht="12.75">
      <c r="A55" s="13" t="s">
        <v>18</v>
      </c>
      <c r="B55" s="27">
        <f>381175+(2623105/720)</f>
        <v>384818.2013888889</v>
      </c>
      <c r="C55" s="27">
        <f>365230+(2623105/720)</f>
        <v>368873.2013888889</v>
      </c>
      <c r="D55" s="27">
        <f>483908+(2623105/720)</f>
        <v>487551.2013888889</v>
      </c>
      <c r="E55" s="27">
        <f>484687+(2623105/720)</f>
        <v>488330.2013888889</v>
      </c>
      <c r="F55" s="27">
        <f>469046+(2623105/720)</f>
        <v>472689.2013888889</v>
      </c>
      <c r="G55" s="27">
        <f>481663+(2623105/720)</f>
        <v>485306.2013888889</v>
      </c>
      <c r="H55" s="27">
        <f>455977+(2623105/720)</f>
        <v>459620.2013888889</v>
      </c>
      <c r="I55" s="27">
        <f>399966+(2623105/720)</f>
        <v>403609.2013888889</v>
      </c>
      <c r="J55" s="27">
        <f>368743+(2623105/720)</f>
        <v>372386.2013888889</v>
      </c>
      <c r="K55" s="27">
        <f>481633+(2623105/720)</f>
        <v>485276.2013888889</v>
      </c>
    </row>
    <row r="56" spans="1:11" ht="12.75">
      <c r="A56" s="13" t="s">
        <v>19</v>
      </c>
      <c r="B56" s="27">
        <f>376414+(2623105/720)</f>
        <v>380057.2013888889</v>
      </c>
      <c r="C56" s="27">
        <f>366404+(2623105/720)</f>
        <v>370047.2013888889</v>
      </c>
      <c r="D56" s="27">
        <f>463269+(2623105/720)</f>
        <v>466912.2013888889</v>
      </c>
      <c r="E56" s="27">
        <f>460353+(2623105/720)</f>
        <v>463996.2013888889</v>
      </c>
      <c r="F56" s="27">
        <f>447405+(2623105/720)</f>
        <v>451048.2013888889</v>
      </c>
      <c r="G56" s="27">
        <f>463330+(2623105/720)</f>
        <v>466973.2013888889</v>
      </c>
      <c r="H56" s="27">
        <f>435839+(2623105/720)</f>
        <v>439482.2013888889</v>
      </c>
      <c r="I56" s="27">
        <f>397603+(2623105/720)</f>
        <v>401246.2013888889</v>
      </c>
      <c r="J56" s="27">
        <f>372047+(2623105/720)</f>
        <v>375690.2013888889</v>
      </c>
      <c r="K56" s="27">
        <f>458746+(2623105/720)</f>
        <v>462389.2013888889</v>
      </c>
    </row>
    <row r="57" spans="1:11" ht="12.75">
      <c r="A57" s="13" t="s">
        <v>20</v>
      </c>
      <c r="B57" s="27">
        <f>378192+(2623105/720)</f>
        <v>381835.2013888889</v>
      </c>
      <c r="C57" s="27">
        <f>379627+(2623105/720)</f>
        <v>383270.2013888889</v>
      </c>
      <c r="D57" s="27">
        <f>447370+(2623105/720)</f>
        <v>451013.2013888889</v>
      </c>
      <c r="E57" s="27">
        <f>445465+(2623105/720)</f>
        <v>449108.2013888889</v>
      </c>
      <c r="F57" s="27">
        <f>427484+(2623105/720)</f>
        <v>431127.2013888889</v>
      </c>
      <c r="G57" s="27">
        <f>445145+(2623105/720)</f>
        <v>448788.2013888889</v>
      </c>
      <c r="H57" s="27">
        <f>422125+(2623105/720)</f>
        <v>425768.2013888889</v>
      </c>
      <c r="I57" s="27">
        <f>400120+(2623105/720)</f>
        <v>403763.2013888889</v>
      </c>
      <c r="J57" s="27">
        <f>383752+(2623105/720)</f>
        <v>387395.2013888889</v>
      </c>
      <c r="K57" s="27">
        <f>445536+(2623105/720)</f>
        <v>449179.2013888889</v>
      </c>
    </row>
    <row r="58" spans="1:11" ht="12.75">
      <c r="A58" s="13" t="s">
        <v>21</v>
      </c>
      <c r="B58" s="27">
        <f>381067+(2623105/720)</f>
        <v>384710.2013888889</v>
      </c>
      <c r="C58" s="27">
        <f>388708+(2623105/720)</f>
        <v>392351.2013888889</v>
      </c>
      <c r="D58" s="27">
        <f>448932+(2623105/720)</f>
        <v>452575.2013888889</v>
      </c>
      <c r="E58" s="27">
        <f>446187+(2623105/720)</f>
        <v>449830.2013888889</v>
      </c>
      <c r="F58" s="27">
        <f>427781+(2623105/720)</f>
        <v>431424.2013888889</v>
      </c>
      <c r="G58" s="27">
        <f>442180+(2623105/720)</f>
        <v>445823.2013888889</v>
      </c>
      <c r="H58" s="27">
        <f>421891+(2623105/720)</f>
        <v>425534.2013888889</v>
      </c>
      <c r="I58" s="27">
        <f>409588+(2623105/720)</f>
        <v>413231.2013888889</v>
      </c>
      <c r="J58" s="27">
        <f>388875+(2623105/720)</f>
        <v>392518.2013888889</v>
      </c>
      <c r="K58" s="27">
        <f>446634+(2623105/720)</f>
        <v>450277.2013888889</v>
      </c>
    </row>
    <row r="59" spans="1:11" ht="12.75">
      <c r="A59" s="13" t="s">
        <v>22</v>
      </c>
      <c r="B59" s="27">
        <f>394687+(2623105/720)</f>
        <v>398330.2013888889</v>
      </c>
      <c r="C59" s="27">
        <f>397015+(2623105/720)</f>
        <v>400658.2013888889</v>
      </c>
      <c r="D59" s="27">
        <f>459857+(2623105/720)</f>
        <v>463500.2013888889</v>
      </c>
      <c r="E59" s="27">
        <f>460755+(2623105/720)</f>
        <v>464398.2013888889</v>
      </c>
      <c r="F59" s="27">
        <f>441603+(2623105/720)</f>
        <v>445246.2013888889</v>
      </c>
      <c r="G59" s="27">
        <f>461424+(2623105/720)</f>
        <v>465067.2013888889</v>
      </c>
      <c r="H59" s="27">
        <f>433993+(2623105/720)</f>
        <v>437636.2013888889</v>
      </c>
      <c r="I59" s="27">
        <f>431564+(2623105/720)</f>
        <v>435207.2013888889</v>
      </c>
      <c r="J59" s="27">
        <f>416323+(2623105/720)</f>
        <v>419966.2013888889</v>
      </c>
      <c r="K59" s="27">
        <f>466650+(2623105/720)</f>
        <v>470293.2013888889</v>
      </c>
    </row>
    <row r="60" spans="1:11" ht="12.75">
      <c r="A60" s="13" t="s">
        <v>23</v>
      </c>
      <c r="B60" s="27">
        <f>451834+(2623105/720)</f>
        <v>455477.2013888889</v>
      </c>
      <c r="C60" s="27">
        <f>442418+(2623105/720)</f>
        <v>446061.2013888889</v>
      </c>
      <c r="D60" s="27">
        <f>497476+(2623105/720)</f>
        <v>501119.2013888889</v>
      </c>
      <c r="E60" s="27">
        <f>508163+(2623105/720)</f>
        <v>511806.2013888889</v>
      </c>
      <c r="F60" s="27">
        <f>496914+(2623105/720)</f>
        <v>500557.2013888889</v>
      </c>
      <c r="G60" s="27">
        <f>504095+(2623105/720)</f>
        <v>507738.2013888889</v>
      </c>
      <c r="H60" s="27">
        <f>486410+(2623105/720)</f>
        <v>490053.2013888889</v>
      </c>
      <c r="I60" s="27">
        <f>472426+(2623105/720)</f>
        <v>476069.2013888889</v>
      </c>
      <c r="J60" s="27">
        <f>462208+(2623105/720)</f>
        <v>465851.2013888889</v>
      </c>
      <c r="K60" s="27">
        <f>518755+(2623105/720)</f>
        <v>522398.2013888889</v>
      </c>
    </row>
    <row r="61" spans="1:11" ht="12.75">
      <c r="A61" s="13" t="s">
        <v>24</v>
      </c>
      <c r="B61" s="27">
        <f>470080+(2623105/720)</f>
        <v>473723.2013888889</v>
      </c>
      <c r="C61" s="27">
        <f>458083+(2623105/720)</f>
        <v>461726.2013888889</v>
      </c>
      <c r="D61" s="27">
        <f>500581+(2623105/720)</f>
        <v>504224.2013888889</v>
      </c>
      <c r="E61" s="27">
        <f>516159+(2623105/720)</f>
        <v>519802.2013888889</v>
      </c>
      <c r="F61" s="27">
        <f>504171+(2623105/720)</f>
        <v>507814.2013888889</v>
      </c>
      <c r="G61" s="27">
        <f>499183+(2623105/720)</f>
        <v>502826.2013888889</v>
      </c>
      <c r="H61" s="27">
        <f>493890+(2623105/720)</f>
        <v>497533.2013888889</v>
      </c>
      <c r="I61" s="27">
        <f>469944+(2623105/720)</f>
        <v>473587.2013888889</v>
      </c>
      <c r="J61" s="27">
        <f>457180+(2623105/720)</f>
        <v>460823.2013888889</v>
      </c>
      <c r="K61" s="27">
        <f>511290+(2623105/720)</f>
        <v>514933.2013888889</v>
      </c>
    </row>
    <row r="62" spans="1:11" ht="12.75">
      <c r="A62" s="13" t="s">
        <v>25</v>
      </c>
      <c r="B62" s="27">
        <f>438962+(2623105/720)</f>
        <v>442605.2013888889</v>
      </c>
      <c r="C62" s="27">
        <f>422372+(2623105/720)</f>
        <v>426015.2013888889</v>
      </c>
      <c r="D62" s="27">
        <f>461159+(2623105/720)</f>
        <v>464802.2013888889</v>
      </c>
      <c r="E62" s="27">
        <f>469239+(2623105/720)</f>
        <v>472882.2013888889</v>
      </c>
      <c r="F62" s="27">
        <f>464134+(2623105/720)</f>
        <v>467777.2013888889</v>
      </c>
      <c r="G62" s="27">
        <f>459771+(2623105/720)</f>
        <v>463414.2013888889</v>
      </c>
      <c r="H62" s="27">
        <f>460759+(2623105/720)</f>
        <v>464402.2013888889</v>
      </c>
      <c r="I62" s="27">
        <f>440253+(2623105/720)</f>
        <v>443896.2013888889</v>
      </c>
      <c r="J62" s="27">
        <f>424211+(2623105/720)</f>
        <v>427854.2013888889</v>
      </c>
      <c r="K62" s="27">
        <f>471925+(2623105/720)</f>
        <v>475568.2013888889</v>
      </c>
    </row>
    <row r="63" spans="1:11" ht="13.5" thickBot="1">
      <c r="A63" s="14" t="s">
        <v>26</v>
      </c>
      <c r="B63" s="27">
        <f>395039+(2623105/720)</f>
        <v>398682.2013888889</v>
      </c>
      <c r="C63" s="27">
        <f>381500+(2623105/720)</f>
        <v>385143.2013888889</v>
      </c>
      <c r="D63" s="27">
        <f>416075+(2623105/720)</f>
        <v>419718.2013888889</v>
      </c>
      <c r="E63" s="27">
        <f>420523+(2623105/720)</f>
        <v>424166.2013888889</v>
      </c>
      <c r="F63" s="27">
        <f>410351+(2623105/720)</f>
        <v>413994.2013888889</v>
      </c>
      <c r="G63" s="27">
        <f>413857+(2623105/720)</f>
        <v>417500.2013888889</v>
      </c>
      <c r="H63" s="27">
        <f>417316+(2623105/720)</f>
        <v>420959.2013888889</v>
      </c>
      <c r="I63" s="27">
        <f>399301+(2623105/720)</f>
        <v>402944.2013888889</v>
      </c>
      <c r="J63" s="27">
        <f>385069+(2623105/720)</f>
        <v>388712.2013888889</v>
      </c>
      <c r="K63" s="27">
        <f>426721+(2623105/720)</f>
        <v>430364.2013888889</v>
      </c>
    </row>
    <row r="64" spans="1:11" ht="13.5" thickBot="1">
      <c r="A64" s="15" t="s">
        <v>27</v>
      </c>
      <c r="B64" s="16">
        <f aca="true" t="shared" si="1" ref="B64:K64">SUM(B40:B63)</f>
        <v>9450009.833333332</v>
      </c>
      <c r="C64" s="16">
        <f t="shared" si="1"/>
        <v>9028716.833333334</v>
      </c>
      <c r="D64" s="16">
        <f t="shared" si="1"/>
        <v>10507790.83333333</v>
      </c>
      <c r="E64" s="16">
        <f t="shared" si="1"/>
        <v>10754853.83333333</v>
      </c>
      <c r="F64" s="16">
        <f t="shared" si="1"/>
        <v>10496534.83333333</v>
      </c>
      <c r="G64" s="16">
        <f t="shared" si="1"/>
        <v>10561033.83333333</v>
      </c>
      <c r="H64" s="16">
        <f t="shared" si="1"/>
        <v>10425795.83333333</v>
      </c>
      <c r="I64" s="16">
        <f t="shared" si="1"/>
        <v>9628358.833333332</v>
      </c>
      <c r="J64" s="16">
        <f t="shared" si="1"/>
        <v>9037232.833333334</v>
      </c>
      <c r="K64" s="16">
        <f t="shared" si="1"/>
        <v>10597752.83333333</v>
      </c>
    </row>
    <row r="67" ht="12.75">
      <c r="K67" t="s">
        <v>28</v>
      </c>
    </row>
    <row r="73" ht="13.5" thickBot="1"/>
    <row r="74" spans="1:11" ht="13.5" thickBot="1">
      <c r="A74" s="30" t="s">
        <v>1</v>
      </c>
      <c r="B74" s="43" t="s">
        <v>2</v>
      </c>
      <c r="C74" s="44"/>
      <c r="D74" s="44"/>
      <c r="E74" s="44"/>
      <c r="F74" s="44"/>
      <c r="G74" s="44"/>
      <c r="H74" s="44"/>
      <c r="I74" s="44"/>
      <c r="J74" s="44"/>
      <c r="K74" s="45"/>
    </row>
    <row r="75" spans="1:11" ht="13.5" thickBot="1">
      <c r="A75" s="31"/>
      <c r="B75" s="17">
        <v>21</v>
      </c>
      <c r="C75" s="18">
        <v>22</v>
      </c>
      <c r="D75" s="18">
        <v>23</v>
      </c>
      <c r="E75" s="18">
        <v>24</v>
      </c>
      <c r="F75" s="18">
        <v>25</v>
      </c>
      <c r="G75" s="18">
        <v>26</v>
      </c>
      <c r="H75" s="18">
        <v>27</v>
      </c>
      <c r="I75" s="18">
        <v>28</v>
      </c>
      <c r="J75" s="18">
        <v>29</v>
      </c>
      <c r="K75" s="18">
        <v>30</v>
      </c>
    </row>
    <row r="76" spans="1:11" ht="12.75">
      <c r="A76" s="46" t="s">
        <v>3</v>
      </c>
      <c r="B76" s="27">
        <f>380216+(2623105/720)</f>
        <v>383859.2013888889</v>
      </c>
      <c r="C76" s="27">
        <f>382763+(2623105/720)</f>
        <v>386406.2013888889</v>
      </c>
      <c r="D76" s="27">
        <f>395957+(2623105/720)</f>
        <v>399600.2013888889</v>
      </c>
      <c r="E76" s="27">
        <f>400093+(2623105/720)</f>
        <v>403736.2013888889</v>
      </c>
      <c r="F76" s="27">
        <f>400780+(2623105/720)</f>
        <v>404423.2013888889</v>
      </c>
      <c r="G76" s="27">
        <f>377411+(2623105/720)</f>
        <v>381054.2013888889</v>
      </c>
      <c r="H76" s="27">
        <f>355140+(2623105/720)</f>
        <v>358783.2013888889</v>
      </c>
      <c r="I76" s="27">
        <f>372391+(2623105/720)</f>
        <v>376034.2013888889</v>
      </c>
      <c r="J76" s="27">
        <f>382247+(2623105/720)</f>
        <v>385890.2013888889</v>
      </c>
      <c r="K76" s="27">
        <f>414044+(2623105/720)</f>
        <v>417687.2013888889</v>
      </c>
    </row>
    <row r="77" spans="1:11" ht="12.75">
      <c r="A77" s="47" t="s">
        <v>4</v>
      </c>
      <c r="B77" s="27">
        <f>357373+(2623105/720)</f>
        <v>361016.2013888889</v>
      </c>
      <c r="C77" s="27">
        <f>360955+(2623105/720)</f>
        <v>364598.2013888889</v>
      </c>
      <c r="D77" s="27">
        <f>375034+(2623105/720)</f>
        <v>378677.2013888889</v>
      </c>
      <c r="E77" s="27">
        <f>378413+(2623105/720)</f>
        <v>382056.2013888889</v>
      </c>
      <c r="F77" s="27">
        <f>375296+(2623105/720)</f>
        <v>378939.2013888889</v>
      </c>
      <c r="G77" s="27">
        <f>356097+(2623105/720)</f>
        <v>359740.2013888889</v>
      </c>
      <c r="H77" s="27">
        <f>338716+(2623105/720)</f>
        <v>342359.2013888889</v>
      </c>
      <c r="I77" s="27">
        <f>352730+(2623105/720)</f>
        <v>356373.2013888889</v>
      </c>
      <c r="J77" s="27">
        <f>360959+(2623105/720)</f>
        <v>364602.2013888889</v>
      </c>
      <c r="K77" s="27">
        <f>392742+(2623105/720)</f>
        <v>396385.2013888889</v>
      </c>
    </row>
    <row r="78" spans="1:11" ht="12.75">
      <c r="A78" s="47" t="s">
        <v>5</v>
      </c>
      <c r="B78" s="27">
        <f>349628+(2623105/720)</f>
        <v>353271.2013888889</v>
      </c>
      <c r="C78" s="27">
        <f>353184+(2623105/720)</f>
        <v>356827.2013888889</v>
      </c>
      <c r="D78" s="27">
        <f>366104+(2623105/720)</f>
        <v>369747.2013888889</v>
      </c>
      <c r="E78" s="27">
        <f>369399+(2623105/720)</f>
        <v>373042.2013888889</v>
      </c>
      <c r="F78" s="27">
        <f>367443+(2623105/720)</f>
        <v>371086.2013888889</v>
      </c>
      <c r="G78" s="27">
        <f>345365+(2623105/720)</f>
        <v>349008.2013888889</v>
      </c>
      <c r="H78" s="27">
        <f>332552+(2623105/720)</f>
        <v>336195.2013888889</v>
      </c>
      <c r="I78" s="27">
        <f>346904+(2623105/720)</f>
        <v>350547.2013888889</v>
      </c>
      <c r="J78" s="27">
        <f>354646+(2623105/720)</f>
        <v>358289.2013888889</v>
      </c>
      <c r="K78" s="27">
        <f>383999+(2623105/720)</f>
        <v>387642.2013888889</v>
      </c>
    </row>
    <row r="79" spans="1:11" ht="12.75">
      <c r="A79" s="47" t="s">
        <v>6</v>
      </c>
      <c r="B79" s="27">
        <f>346696+(2623105/720)</f>
        <v>350339.2013888889</v>
      </c>
      <c r="C79" s="27">
        <f>348426+(2623105/720)</f>
        <v>352069.2013888889</v>
      </c>
      <c r="D79" s="27">
        <f>361405+(2623105/720)</f>
        <v>365048.2013888889</v>
      </c>
      <c r="E79" s="27">
        <f>363619+(2623105/720)</f>
        <v>367262.2013888889</v>
      </c>
      <c r="F79" s="27">
        <f>359901+(2623105/720)</f>
        <v>363544.2013888889</v>
      </c>
      <c r="G79" s="27">
        <f>339222+(2623105/720)</f>
        <v>342865.2013888889</v>
      </c>
      <c r="H79" s="27">
        <f>328001+(2623105/720)</f>
        <v>331644.2013888889</v>
      </c>
      <c r="I79" s="27">
        <f>342806+(2623105/720)</f>
        <v>346449.2013888889</v>
      </c>
      <c r="J79" s="27">
        <f>348520+(2623105/720)</f>
        <v>352163.2013888889</v>
      </c>
      <c r="K79" s="27">
        <f>378022+(2623105/720)</f>
        <v>381665.2013888889</v>
      </c>
    </row>
    <row r="80" spans="1:11" ht="12.75">
      <c r="A80" s="47" t="s">
        <v>7</v>
      </c>
      <c r="B80" s="27">
        <f>348030+(2623105/720)</f>
        <v>351673.2013888889</v>
      </c>
      <c r="C80" s="27">
        <f>349632+(2623105/720)</f>
        <v>353275.2013888889</v>
      </c>
      <c r="D80" s="27">
        <f>361349+(2623105/720)</f>
        <v>364992.2013888889</v>
      </c>
      <c r="E80" s="27">
        <f>362822+(2623105/720)</f>
        <v>366465.2013888889</v>
      </c>
      <c r="F80" s="27">
        <f>355126+(2623105/720)</f>
        <v>358769.2013888889</v>
      </c>
      <c r="G80" s="27">
        <f>339244+(2623105/720)</f>
        <v>342887.2013888889</v>
      </c>
      <c r="H80" s="27">
        <f>330570+(2623105/720)</f>
        <v>334213.2013888889</v>
      </c>
      <c r="I80" s="27">
        <f>343608+(2623105/720)</f>
        <v>347251.2013888889</v>
      </c>
      <c r="J80" s="27">
        <f>346726+(2623105/720)</f>
        <v>350369.2013888889</v>
      </c>
      <c r="K80" s="27">
        <f>377551+(2623105/720)</f>
        <v>381194.2013888889</v>
      </c>
    </row>
    <row r="81" spans="1:11" ht="12.75">
      <c r="A81" s="47" t="s">
        <v>8</v>
      </c>
      <c r="B81" s="27">
        <f>361693+(2623105/720)</f>
        <v>365336.2013888889</v>
      </c>
      <c r="C81" s="27">
        <f>363365+(2623105/720)</f>
        <v>367008.2013888889</v>
      </c>
      <c r="D81" s="27">
        <f>374031+(2623105/720)</f>
        <v>377674.2013888889</v>
      </c>
      <c r="E81" s="27">
        <f>375969+(2623105/720)</f>
        <v>379612.2013888889</v>
      </c>
      <c r="F81" s="27">
        <f>359846+(2623105/720)</f>
        <v>363489.2013888889</v>
      </c>
      <c r="G81" s="27">
        <f>344126+(2623105/720)</f>
        <v>347769.2013888889</v>
      </c>
      <c r="H81" s="27">
        <f>346226+(2623105/720)</f>
        <v>349869.2013888889</v>
      </c>
      <c r="I81" s="27">
        <f>358348+(2623105/720)</f>
        <v>361991.2013888889</v>
      </c>
      <c r="J81" s="27">
        <f>360483+(2623105/720)</f>
        <v>364126.2013888889</v>
      </c>
      <c r="K81" s="27">
        <f>392291+(2623105/720)</f>
        <v>395934.2013888889</v>
      </c>
    </row>
    <row r="82" spans="1:11" ht="12.75">
      <c r="A82" s="47" t="s">
        <v>9</v>
      </c>
      <c r="B82" s="27">
        <f>400569+(2623105/720)</f>
        <v>404212.2013888889</v>
      </c>
      <c r="C82" s="27">
        <f>401788+(2623105/720)</f>
        <v>405431.2013888889</v>
      </c>
      <c r="D82" s="27">
        <f>415323+(2623105/720)</f>
        <v>418966.2013888889</v>
      </c>
      <c r="E82" s="27">
        <f>414775+(2623105/720)</f>
        <v>418418.2013888889</v>
      </c>
      <c r="F82" s="27">
        <f>373852+(2623105/720)</f>
        <v>377495.2013888889</v>
      </c>
      <c r="G82" s="27">
        <f>357011+(2623105/720)</f>
        <v>360654.2013888889</v>
      </c>
      <c r="H82" s="27">
        <f>390442+(2623105/720)</f>
        <v>394085.2013888889</v>
      </c>
      <c r="I82" s="27">
        <f>399146+(2623105/720)</f>
        <v>402789.2013888889</v>
      </c>
      <c r="J82" s="27">
        <f>402448+(2623105/720)</f>
        <v>406091.2013888889</v>
      </c>
      <c r="K82" s="27">
        <f>435264+(2623105/720)</f>
        <v>438907.2013888889</v>
      </c>
    </row>
    <row r="83" spans="1:11" ht="12.75">
      <c r="A83" s="47" t="s">
        <v>10</v>
      </c>
      <c r="B83" s="27">
        <f>451783+(2623105/720)</f>
        <v>455426.2013888889</v>
      </c>
      <c r="C83" s="27">
        <f>454754+(2623105/720)</f>
        <v>458397.2013888889</v>
      </c>
      <c r="D83" s="27">
        <f>466321+(2623105/720)</f>
        <v>469964.2013888889</v>
      </c>
      <c r="E83" s="27">
        <f>461684+(2623105/720)</f>
        <v>465327.2013888889</v>
      </c>
      <c r="F83" s="27">
        <f>389129+(2623105/720)</f>
        <v>392772.2013888889</v>
      </c>
      <c r="G83" s="27">
        <f>362500+(2623105/720)</f>
        <v>366143.2013888889</v>
      </c>
      <c r="H83" s="27">
        <f>443543+(2623105/720)</f>
        <v>447186.2013888889</v>
      </c>
      <c r="I83" s="27">
        <f>453479+(2623105/720)</f>
        <v>457122.2013888889</v>
      </c>
      <c r="J83" s="27">
        <f>457458+(2623105/720)</f>
        <v>461101.2013888889</v>
      </c>
      <c r="K83" s="27">
        <f>491721+(2623105/720)</f>
        <v>495364.2013888889</v>
      </c>
    </row>
    <row r="84" spans="1:11" ht="12.75">
      <c r="A84" s="47" t="s">
        <v>11</v>
      </c>
      <c r="B84" s="27">
        <f>514116+(2623105/720)</f>
        <v>517759.2013888889</v>
      </c>
      <c r="C84" s="27">
        <f>522451+(2623105/720)</f>
        <v>526094.2013888889</v>
      </c>
      <c r="D84" s="27">
        <f>528733+(2623105/720)</f>
        <v>532376.2013888889</v>
      </c>
      <c r="E84" s="27">
        <f>522060+(2623105/720)</f>
        <v>525703.2013888889</v>
      </c>
      <c r="F84" s="27">
        <f>419293+(2623105/720)</f>
        <v>422936.2013888889</v>
      </c>
      <c r="G84" s="27">
        <f>383745+(2623105/720)</f>
        <v>387388.2013888889</v>
      </c>
      <c r="H84" s="27">
        <f>501999+(2623105/720)</f>
        <v>505642.2013888889</v>
      </c>
      <c r="I84" s="27">
        <f>510774+(2623105/720)</f>
        <v>514417.2013888889</v>
      </c>
      <c r="J84" s="27">
        <f>518819+(2623105/720)</f>
        <v>522462.2013888889</v>
      </c>
      <c r="K84" s="27">
        <f>549980+(2623105/720)</f>
        <v>553623.2013888889</v>
      </c>
    </row>
    <row r="85" spans="1:11" ht="12.75">
      <c r="A85" s="47" t="s">
        <v>12</v>
      </c>
      <c r="B85" s="27">
        <f>537606+(2623105/720)</f>
        <v>541249.2013888889</v>
      </c>
      <c r="C85" s="27">
        <f>558373+(2623105/720)</f>
        <v>562016.2013888889</v>
      </c>
      <c r="D85" s="27">
        <f>558938+(2623105/720)</f>
        <v>562581.2013888889</v>
      </c>
      <c r="E85" s="27">
        <f>543654+(2623105/720)</f>
        <v>547297.2013888889</v>
      </c>
      <c r="F85" s="27">
        <f>438554+(2623105/720)</f>
        <v>442197.2013888889</v>
      </c>
      <c r="G85" s="27">
        <f>405778+(2623105/720)</f>
        <v>409421.2013888889</v>
      </c>
      <c r="H85" s="27">
        <f>526892+(2623105/720)</f>
        <v>530535.2013888889</v>
      </c>
      <c r="I85" s="27">
        <f>538289+(2623105/720)</f>
        <v>541932.2013888889</v>
      </c>
      <c r="J85" s="27">
        <f>550563+(2623105/720)</f>
        <v>554206.2013888889</v>
      </c>
      <c r="K85" s="27">
        <f>578275+(2623105/720)</f>
        <v>581918.2013888889</v>
      </c>
    </row>
    <row r="86" spans="1:11" ht="12.75">
      <c r="A86" s="47" t="s">
        <v>13</v>
      </c>
      <c r="B86" s="27">
        <f>537170+(2623105/720)</f>
        <v>540813.2013888889</v>
      </c>
      <c r="C86" s="27">
        <f>570495+(2623105/720)</f>
        <v>574138.2013888889</v>
      </c>
      <c r="D86" s="27">
        <f>572865+(2623105/720)</f>
        <v>576508.2013888889</v>
      </c>
      <c r="E86" s="27">
        <f>543056+(2623105/720)</f>
        <v>546699.2013888889</v>
      </c>
      <c r="F86" s="27">
        <f>440045+(2623105/720)</f>
        <v>443688.2013888889</v>
      </c>
      <c r="G86" s="27">
        <f>407833+(2623105/720)</f>
        <v>411476.2013888889</v>
      </c>
      <c r="H86" s="27">
        <f>531140+(2623105/720)</f>
        <v>534783.2013888889</v>
      </c>
      <c r="I86" s="27">
        <f>549372+(2623105/720)</f>
        <v>553015.2013888889</v>
      </c>
      <c r="J86" s="27">
        <f>556732+(2623105/720)</f>
        <v>560375.2013888889</v>
      </c>
      <c r="K86" s="27">
        <f>581745+(2623105/720)</f>
        <v>585388.2013888889</v>
      </c>
    </row>
    <row r="87" spans="1:11" ht="12.75">
      <c r="A87" s="47" t="s">
        <v>14</v>
      </c>
      <c r="B87" s="27">
        <f>518764+(2623105/720)</f>
        <v>522407.2013888889</v>
      </c>
      <c r="C87" s="27">
        <f>561993+(2623105/720)</f>
        <v>565636.2013888889</v>
      </c>
      <c r="D87" s="27">
        <f>563813+(2623105/720)</f>
        <v>567456.2013888889</v>
      </c>
      <c r="E87" s="27">
        <f>518642+(2623105/720)</f>
        <v>522285.2013888889</v>
      </c>
      <c r="F87" s="27">
        <f>433410+(2623105/720)</f>
        <v>437053.2013888889</v>
      </c>
      <c r="G87" s="27">
        <f>399175+(2623105/720)</f>
        <v>402818.2013888889</v>
      </c>
      <c r="H87" s="27">
        <f>513043+(2623105/720)</f>
        <v>516686.2013888889</v>
      </c>
      <c r="I87" s="27">
        <f>544336+(2623105/720)</f>
        <v>547979.2013888889</v>
      </c>
      <c r="J87" s="27">
        <f>547685+(2623105/720)</f>
        <v>551328.2013888889</v>
      </c>
      <c r="K87" s="27">
        <f>562628+(2623105/720)</f>
        <v>566271.2013888889</v>
      </c>
    </row>
    <row r="88" spans="1:11" ht="12.75">
      <c r="A88" s="47" t="s">
        <v>15</v>
      </c>
      <c r="B88" s="27">
        <f>490303+(2623105/720)</f>
        <v>493946.2013888889</v>
      </c>
      <c r="C88" s="27">
        <f>534736+(2623105/720)</f>
        <v>538379.2013888889</v>
      </c>
      <c r="D88" s="27">
        <f>539349+(2623105/720)</f>
        <v>542992.2013888889</v>
      </c>
      <c r="E88" s="27">
        <f>496622+(2623105/720)</f>
        <v>500265.2013888889</v>
      </c>
      <c r="F88" s="27">
        <f>419681+(2623105/720)</f>
        <v>423324.2013888889</v>
      </c>
      <c r="G88" s="27">
        <f>386234+(2623105/720)</f>
        <v>389877.2013888889</v>
      </c>
      <c r="H88" s="27">
        <f>482417+(2623105/720)</f>
        <v>486060.2013888889</v>
      </c>
      <c r="I88" s="27">
        <f>523621+(2623105/720)</f>
        <v>527264.2013888889</v>
      </c>
      <c r="J88" s="27">
        <f>524851+(2623105/720)</f>
        <v>528494.2013888889</v>
      </c>
      <c r="K88" s="27">
        <f>532914+(2623105/720)</f>
        <v>536557.2013888889</v>
      </c>
    </row>
    <row r="89" spans="1:11" ht="12.75">
      <c r="A89" s="47" t="s">
        <v>16</v>
      </c>
      <c r="B89" s="27">
        <f>507552+(2623105/720)</f>
        <v>511195.2013888889</v>
      </c>
      <c r="C89" s="27">
        <f>547511+(2623105/720)</f>
        <v>551154.2013888889</v>
      </c>
      <c r="D89" s="27">
        <f>554163+(2623105/720)</f>
        <v>557806.2013888889</v>
      </c>
      <c r="E89" s="27">
        <f>503469+(2623105/720)</f>
        <v>507112.2013888889</v>
      </c>
      <c r="F89" s="27">
        <f>406935+(2623105/720)</f>
        <v>410578.2013888889</v>
      </c>
      <c r="G89" s="27">
        <f>380182+(2623105/720)</f>
        <v>383825.2013888889</v>
      </c>
      <c r="H89" s="27">
        <f>495364+(2623105/720)</f>
        <v>499007.2013888889</v>
      </c>
      <c r="I89" s="27">
        <f>535505+(2623105/720)</f>
        <v>539148.2013888889</v>
      </c>
      <c r="J89" s="27">
        <f>539316+(2623105/720)</f>
        <v>542959.2013888889</v>
      </c>
      <c r="K89" s="27">
        <f>542312+(2623105/720)</f>
        <v>545955.2013888889</v>
      </c>
    </row>
    <row r="90" spans="1:11" ht="12.75">
      <c r="A90" s="47" t="s">
        <v>17</v>
      </c>
      <c r="B90" s="27">
        <f>505140+(2623105/720)</f>
        <v>508783.2013888889</v>
      </c>
      <c r="C90" s="27">
        <f>546327+(2623105/720)</f>
        <v>549970.2013888889</v>
      </c>
      <c r="D90" s="27">
        <f>549337+(2623105/720)</f>
        <v>552980.2013888889</v>
      </c>
      <c r="E90" s="27">
        <f>498901+(2623105/720)</f>
        <v>502544.2013888889</v>
      </c>
      <c r="F90" s="27">
        <f>400978+(2623105/720)</f>
        <v>404621.2013888889</v>
      </c>
      <c r="G90" s="27">
        <f>379271+(2623105/720)</f>
        <v>382914.2013888889</v>
      </c>
      <c r="H90" s="27">
        <f>489333+(2623105/720)</f>
        <v>492976.2013888889</v>
      </c>
      <c r="I90" s="27">
        <f>534094+(2623105/720)</f>
        <v>537737.2013888889</v>
      </c>
      <c r="J90" s="27">
        <f>540018+(2623105/720)</f>
        <v>543661.2013888889</v>
      </c>
      <c r="K90" s="27">
        <f>538376+(2623105/720)</f>
        <v>542019.2013888889</v>
      </c>
    </row>
    <row r="91" spans="1:11" ht="12.75">
      <c r="A91" s="47" t="s">
        <v>18</v>
      </c>
      <c r="B91" s="27">
        <f>492157+(2623105/720)</f>
        <v>495800.2013888889</v>
      </c>
      <c r="C91" s="27">
        <f>530898+(2623105/720)</f>
        <v>534541.2013888889</v>
      </c>
      <c r="D91" s="27">
        <f>536468+(2623105/720)</f>
        <v>540111.2013888889</v>
      </c>
      <c r="E91" s="27">
        <f>478185+(2623105/720)</f>
        <v>481828.2013888889</v>
      </c>
      <c r="F91" s="27">
        <f>392818+(2623105/720)</f>
        <v>396461.2013888889</v>
      </c>
      <c r="G91" s="27">
        <f>374587+(2623105/720)</f>
        <v>378230.2013888889</v>
      </c>
      <c r="H91" s="27">
        <f>469977+(2623105/720)</f>
        <v>473620.2013888889</v>
      </c>
      <c r="I91" s="27">
        <f>524822+(2623105/720)</f>
        <v>528465.2013888889</v>
      </c>
      <c r="J91" s="27">
        <f>536115+(2623105/720)</f>
        <v>539758.2013888889</v>
      </c>
      <c r="K91" s="27">
        <f>524411+(2623105/720)</f>
        <v>528054.2013888889</v>
      </c>
    </row>
    <row r="92" spans="1:11" ht="12.75">
      <c r="A92" s="47" t="s">
        <v>19</v>
      </c>
      <c r="B92" s="27">
        <f>469998+(2623105/720)</f>
        <v>473641.2013888889</v>
      </c>
      <c r="C92" s="27">
        <f>508730+(2623105/720)</f>
        <v>512373.2013888889</v>
      </c>
      <c r="D92" s="27">
        <f>512014+(2623105/720)</f>
        <v>515657.2013888889</v>
      </c>
      <c r="E92" s="27">
        <f>460514+(2623105/720)</f>
        <v>464157.2013888889</v>
      </c>
      <c r="F92" s="27">
        <f>390322+(2623105/720)</f>
        <v>393965.2013888889</v>
      </c>
      <c r="G92" s="27">
        <f>370993+(2623105/720)</f>
        <v>374636.2013888889</v>
      </c>
      <c r="H92" s="27">
        <f>450323+(2623105/720)</f>
        <v>453966.2013888889</v>
      </c>
      <c r="I92" s="27">
        <f>502865+(2623105/720)</f>
        <v>506508.2013888889</v>
      </c>
      <c r="J92" s="27">
        <f>526983+(2623105/720)</f>
        <v>530626.2013888889</v>
      </c>
      <c r="K92" s="27">
        <f>503900+(2623105/720)</f>
        <v>507543.2013888889</v>
      </c>
    </row>
    <row r="93" spans="1:11" ht="12.75">
      <c r="A93" s="47" t="s">
        <v>20</v>
      </c>
      <c r="B93" s="27">
        <f>445483+(2623105/720)</f>
        <v>449126.2013888889</v>
      </c>
      <c r="C93" s="27">
        <f>489658+(2623105/720)</f>
        <v>493301.2013888889</v>
      </c>
      <c r="D93" s="27">
        <f>495468+(2623105/720)</f>
        <v>499111.2013888889</v>
      </c>
      <c r="E93" s="27">
        <f>445644+(2623105/720)</f>
        <v>449287.2013888889</v>
      </c>
      <c r="F93" s="27">
        <f>390623+(2623105/720)</f>
        <v>394266.2013888889</v>
      </c>
      <c r="G93" s="27">
        <f>373832+(2623105/720)</f>
        <v>377475.2013888889</v>
      </c>
      <c r="H93" s="27">
        <f>439310+(2623105/720)</f>
        <v>442953.2013888889</v>
      </c>
      <c r="I93" s="27">
        <f>475759+(2623105/720)</f>
        <v>479402.2013888889</v>
      </c>
      <c r="J93" s="27">
        <f>523437+(2623105/720)</f>
        <v>527080.2013888889</v>
      </c>
      <c r="K93" s="27">
        <f>489347+(2623105/720)</f>
        <v>492990.2013888889</v>
      </c>
    </row>
    <row r="94" spans="1:11" ht="12.75">
      <c r="A94" s="47" t="s">
        <v>21</v>
      </c>
      <c r="B94" s="27">
        <f>441909+(2623105/720)</f>
        <v>445552.2013888889</v>
      </c>
      <c r="C94" s="27">
        <f>490124+(2623105/720)</f>
        <v>493767.2013888889</v>
      </c>
      <c r="D94" s="27">
        <f>490388+(2623105/720)</f>
        <v>494031.2013888889</v>
      </c>
      <c r="E94" s="27">
        <f>444199+(2623105/720)</f>
        <v>447842.2013888889</v>
      </c>
      <c r="F94" s="27">
        <f>395741+(2623105/720)</f>
        <v>399384.2013888889</v>
      </c>
      <c r="G94" s="27">
        <f>378772+(2623105/720)</f>
        <v>382415.2013888889</v>
      </c>
      <c r="H94" s="27">
        <f>447954+(2623105/720)</f>
        <v>451597.2013888889</v>
      </c>
      <c r="I94" s="27">
        <f>468475+(2623105/720)</f>
        <v>472118.2013888889</v>
      </c>
      <c r="J94" s="27">
        <f>538287+(2623105/720)</f>
        <v>541930.2013888889</v>
      </c>
      <c r="K94" s="27">
        <f>494044+(2623105/720)</f>
        <v>497687.2013888889</v>
      </c>
    </row>
    <row r="95" spans="1:11" ht="12.75">
      <c r="A95" s="47" t="s">
        <v>22</v>
      </c>
      <c r="B95" s="27">
        <f>461842+(2623105/720)</f>
        <v>465485.2013888889</v>
      </c>
      <c r="C95" s="27">
        <f>505293+(2623105/720)</f>
        <v>508936.2013888889</v>
      </c>
      <c r="D95" s="27">
        <f>503966+(2623105/720)</f>
        <v>507609.2013888889</v>
      </c>
      <c r="E95" s="27">
        <f>466870+(2623105/720)</f>
        <v>470513.2013888889</v>
      </c>
      <c r="F95" s="27">
        <f>427817+(2623105/720)</f>
        <v>431460.2013888889</v>
      </c>
      <c r="G95" s="27">
        <f>415855+(2623105/720)</f>
        <v>419498.2013888889</v>
      </c>
      <c r="H95" s="27">
        <f>482176+(2623105/720)</f>
        <v>485819.2013888889</v>
      </c>
      <c r="I95" s="27">
        <f>492236+(2623105/720)</f>
        <v>495879.2013888889</v>
      </c>
      <c r="J95" s="27">
        <f>554177+(2623105/720)</f>
        <v>557820.2013888889</v>
      </c>
      <c r="K95" s="27">
        <f>532239+(2623105/720)</f>
        <v>535882.2013888889</v>
      </c>
    </row>
    <row r="96" spans="1:11" ht="12.75">
      <c r="A96" s="47" t="s">
        <v>23</v>
      </c>
      <c r="B96" s="27">
        <f>517407+(2623105/720)</f>
        <v>521050.2013888889</v>
      </c>
      <c r="C96" s="27">
        <f>535828+(2623105/720)</f>
        <v>539471.2013888889</v>
      </c>
      <c r="D96" s="27">
        <f>544406+(2623105/720)</f>
        <v>548049.2013888889</v>
      </c>
      <c r="E96" s="27">
        <f>522322+(2623105/720)</f>
        <v>525965.2013888889</v>
      </c>
      <c r="F96" s="27">
        <f>485345+(2623105/720)</f>
        <v>488988.2013888889</v>
      </c>
      <c r="G96" s="27">
        <f>472562+(2623105/720)</f>
        <v>476205.2013888889</v>
      </c>
      <c r="H96" s="27">
        <f>514644+(2623105/720)</f>
        <v>518287.2013888889</v>
      </c>
      <c r="I96" s="27">
        <f>525350+(2623105/720)</f>
        <v>528993.2013888889</v>
      </c>
      <c r="J96" s="27">
        <f>561096+(2623105/720)</f>
        <v>564739.2013888889</v>
      </c>
      <c r="K96" s="27">
        <f>567186+(2623105/720)</f>
        <v>570829.2013888889</v>
      </c>
    </row>
    <row r="97" spans="1:11" ht="12.75">
      <c r="A97" s="47" t="s">
        <v>24</v>
      </c>
      <c r="B97" s="27">
        <f>509780+(2623105/720)</f>
        <v>513423.2013888889</v>
      </c>
      <c r="C97" s="27">
        <f>526365+(2623105/720)</f>
        <v>530008.2013888889</v>
      </c>
      <c r="D97" s="27">
        <f>529933+(2623105/720)</f>
        <v>533576.2013888889</v>
      </c>
      <c r="E97" s="27">
        <f>519474+(2623105/720)</f>
        <v>523117.2013888889</v>
      </c>
      <c r="F97" s="27">
        <f>484429+(2623105/720)</f>
        <v>488072.2013888889</v>
      </c>
      <c r="G97" s="27">
        <f>464728+(2623105/720)</f>
        <v>468371.2013888889</v>
      </c>
      <c r="H97" s="27">
        <f>499175+(2623105/720)</f>
        <v>502818.2013888889</v>
      </c>
      <c r="I97" s="27">
        <f>510959+(2623105/720)</f>
        <v>514602.2013888889</v>
      </c>
      <c r="J97" s="27">
        <f>544808+(2623105/720)</f>
        <v>548451.2013888889</v>
      </c>
      <c r="K97" s="27">
        <f>553704+(2623105/720)</f>
        <v>557347.2013888889</v>
      </c>
    </row>
    <row r="98" spans="1:11" ht="12.75">
      <c r="A98" s="47" t="s">
        <v>25</v>
      </c>
      <c r="B98" s="27">
        <f>470229+(2623105/720)</f>
        <v>473872.2013888889</v>
      </c>
      <c r="C98" s="27">
        <f>484112+(2623105/720)</f>
        <v>487755.2013888889</v>
      </c>
      <c r="D98" s="27">
        <f>490774+(2623105/720)</f>
        <v>494417.2013888889</v>
      </c>
      <c r="E98" s="27">
        <f>485180+(2623105/720)</f>
        <v>488823.2013888889</v>
      </c>
      <c r="F98" s="27">
        <f>452746+(2623105/720)</f>
        <v>456389.2013888889</v>
      </c>
      <c r="G98" s="27">
        <f>430866+(2623105/720)</f>
        <v>434509.2013888889</v>
      </c>
      <c r="H98" s="27">
        <f>458961+(2623105/720)</f>
        <v>462604.2013888889</v>
      </c>
      <c r="I98" s="27">
        <f>470574+(2623105/720)</f>
        <v>474217.2013888889</v>
      </c>
      <c r="J98" s="27">
        <f>503758+(2623105/720)</f>
        <v>507401.2013888889</v>
      </c>
      <c r="K98" s="27">
        <f>514483+(2623105/720)</f>
        <v>518126.2013888889</v>
      </c>
    </row>
    <row r="99" spans="1:11" ht="13.5" thickBot="1">
      <c r="A99" s="48" t="s">
        <v>26</v>
      </c>
      <c r="B99" s="27">
        <f>425809+(2623105/720)</f>
        <v>429452.2013888889</v>
      </c>
      <c r="C99" s="27">
        <f>439172+(2623105/720)</f>
        <v>442815.2013888889</v>
      </c>
      <c r="D99" s="27">
        <f>443531+(2623105/720)</f>
        <v>447174.2013888889</v>
      </c>
      <c r="E99" s="27">
        <f>442962+(2623105/720)</f>
        <v>446605.2013888889</v>
      </c>
      <c r="F99" s="27">
        <f>412797+(2623105/720)</f>
        <v>416440.2013888889</v>
      </c>
      <c r="G99" s="27">
        <f>390038+(2623105/720)</f>
        <v>393681.2013888889</v>
      </c>
      <c r="H99" s="27">
        <f>415119+(2623105/720)</f>
        <v>418762.2013888889</v>
      </c>
      <c r="I99" s="27">
        <f>424305+(2623105/720)</f>
        <v>427948.2013888889</v>
      </c>
      <c r="J99" s="27">
        <f>456443+(2623105/720)</f>
        <v>460086.2013888889</v>
      </c>
      <c r="K99" s="27">
        <f>463536+(2623105/720)</f>
        <v>467179.2013888889</v>
      </c>
    </row>
    <row r="100" spans="1:11" ht="13.5" thickBot="1">
      <c r="A100" s="19" t="s">
        <v>27</v>
      </c>
      <c r="B100" s="16">
        <f aca="true" t="shared" si="2" ref="B100:K100">SUM(B76:B99)</f>
        <v>10928689.83333333</v>
      </c>
      <c r="C100" s="16">
        <f t="shared" si="2"/>
        <v>11454369.833333328</v>
      </c>
      <c r="D100" s="16">
        <f t="shared" si="2"/>
        <v>11617106.833333328</v>
      </c>
      <c r="E100" s="16">
        <f t="shared" si="2"/>
        <v>11105964.83333333</v>
      </c>
      <c r="F100" s="16">
        <f t="shared" si="2"/>
        <v>9860343.833333332</v>
      </c>
      <c r="G100" s="16">
        <f t="shared" si="2"/>
        <v>9322863.833333332</v>
      </c>
      <c r="H100" s="16">
        <f t="shared" si="2"/>
        <v>10670453.83333333</v>
      </c>
      <c r="I100" s="16">
        <f t="shared" si="2"/>
        <v>11188184.83333333</v>
      </c>
      <c r="J100" s="16">
        <f t="shared" si="2"/>
        <v>11624011.833333328</v>
      </c>
      <c r="K100" s="16">
        <f t="shared" si="2"/>
        <v>11882150.833333328</v>
      </c>
    </row>
    <row r="102" spans="1:4" ht="15">
      <c r="A102" s="20" t="s">
        <v>29</v>
      </c>
      <c r="B102" s="32">
        <f>B33+C33+D33+E33+F33+G33+H33+I33+J33+K33+B64+C64+D64+E64+F64+G64+H64+I64+J64+K64+B100+C100+D100+E100+F100+G100+H100+I100+J100+K100</f>
        <v>312883163</v>
      </c>
      <c r="C102" s="33"/>
      <c r="D102" s="21" t="s">
        <v>30</v>
      </c>
    </row>
    <row r="103" ht="25.5" customHeight="1">
      <c r="H103" s="21"/>
    </row>
    <row r="104" spans="1:11" ht="15.75" customHeight="1">
      <c r="A104" s="22" t="s">
        <v>31</v>
      </c>
      <c r="C104" s="23"/>
      <c r="D104" s="24"/>
      <c r="E104" s="22"/>
      <c r="F104" s="28"/>
      <c r="G104" s="28"/>
      <c r="H104" s="28"/>
      <c r="I104" s="28"/>
      <c r="J104" s="28"/>
      <c r="K104" s="28"/>
    </row>
    <row r="105" spans="1:11" ht="12.75">
      <c r="A105" s="21"/>
      <c r="C105" s="21"/>
      <c r="H105" s="21"/>
      <c r="J105" s="22"/>
      <c r="K105" s="22"/>
    </row>
    <row r="106" spans="8:10" ht="12.75">
      <c r="H106" s="21"/>
      <c r="J106" s="22"/>
    </row>
    <row r="107" spans="1:11" ht="12.75">
      <c r="A107" s="22"/>
      <c r="C107" s="25"/>
      <c r="D107" s="26"/>
      <c r="E107" s="26"/>
      <c r="F107" s="25"/>
      <c r="G107" s="25"/>
      <c r="H107" s="26"/>
      <c r="I107" s="25"/>
      <c r="J107" s="26"/>
      <c r="K107" s="26"/>
    </row>
  </sheetData>
  <mergeCells count="13">
    <mergeCell ref="B4:E4"/>
    <mergeCell ref="A5:E5"/>
    <mergeCell ref="A1:K1"/>
    <mergeCell ref="F104:K104"/>
    <mergeCell ref="B3:F3"/>
    <mergeCell ref="A74:A75"/>
    <mergeCell ref="B74:K74"/>
    <mergeCell ref="B102:C102"/>
    <mergeCell ref="C6:K6"/>
    <mergeCell ref="A7:A8"/>
    <mergeCell ref="B7:K7"/>
    <mergeCell ref="A38:A39"/>
    <mergeCell ref="B38:K38"/>
  </mergeCells>
  <printOptions/>
  <pageMargins left="0.75" right="0.75" top="1" bottom="1" header="0.5" footer="0.5"/>
  <pageSetup horizontalDpi="600" verticalDpi="600" orientation="landscape" paperSize="9" scale="87" r:id="rId1"/>
  <rowBreaks count="2" manualBreakCount="2">
    <brk id="35" max="11" man="1"/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GubarevaOA</dc:creator>
  <cp:keywords/>
  <dc:description/>
  <cp:lastModifiedBy>KorolevOE</cp:lastModifiedBy>
  <cp:lastPrinted>2010-10-21T10:52:44Z</cp:lastPrinted>
  <dcterms:created xsi:type="dcterms:W3CDTF">2010-07-01T10:05:56Z</dcterms:created>
  <dcterms:modified xsi:type="dcterms:W3CDTF">2010-10-21T10:52:51Z</dcterms:modified>
  <cp:category/>
  <cp:version/>
  <cp:contentType/>
  <cp:contentStatus/>
</cp:coreProperties>
</file>